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1"/>
  </bookViews>
  <sheets>
    <sheet name="Stavební rozpočet" sheetId="1" r:id="rId1"/>
    <sheet name="Krycí list rozpočtu" sheetId="2" r:id="rId2"/>
  </sheets>
  <definedNames/>
  <calcPr fullCalcOnLoad="1"/>
</workbook>
</file>

<file path=xl/sharedStrings.xml><?xml version="1.0" encoding="utf-8"?>
<sst xmlns="http://schemas.openxmlformats.org/spreadsheetml/2006/main" count="456" uniqueCount="254">
  <si>
    <t>Stavební rozpočet</t>
  </si>
  <si>
    <t>Název stavby:</t>
  </si>
  <si>
    <t>Obnova víceúčelového školního hřiště v obci Pňovice</t>
  </si>
  <si>
    <t>Doba výstavby:</t>
  </si>
  <si>
    <t xml:space="preserve"> </t>
  </si>
  <si>
    <t>Objednatel:</t>
  </si>
  <si>
    <t>Obec Pňovice, Pňovice 187</t>
  </si>
  <si>
    <t>Druh stavby:</t>
  </si>
  <si>
    <t>Začátek výstavby:</t>
  </si>
  <si>
    <t> </t>
  </si>
  <si>
    <t>Projektant:</t>
  </si>
  <si>
    <t>Ing.J.Ruprecht</t>
  </si>
  <si>
    <t>Lokalita:</t>
  </si>
  <si>
    <t>Pňovice</t>
  </si>
  <si>
    <t>Konec výstavby:</t>
  </si>
  <si>
    <t>Zhotovitel:</t>
  </si>
  <si>
    <t>JKSO:</t>
  </si>
  <si>
    <t>Zpracováno dne:</t>
  </si>
  <si>
    <t>19.01.2020</t>
  </si>
  <si>
    <t>Zpracoval:</t>
  </si>
  <si>
    <t>Ing.Ruprecht</t>
  </si>
  <si>
    <t>Č</t>
  </si>
  <si>
    <t>Objekt</t>
  </si>
  <si>
    <t>Kód</t>
  </si>
  <si>
    <t>Zkrácený popis</t>
  </si>
  <si>
    <t>M.j.</t>
  </si>
  <si>
    <t>Množství</t>
  </si>
  <si>
    <t>Jednot.</t>
  </si>
  <si>
    <t>Náklady (Kč)</t>
  </si>
  <si>
    <t>Hmotnost (t)</t>
  </si>
  <si>
    <t>Rozměry</t>
  </si>
  <si>
    <t>cena (Kč)</t>
  </si>
  <si>
    <t>Dodávka</t>
  </si>
  <si>
    <t>Montáž</t>
  </si>
  <si>
    <t>Celkem</t>
  </si>
  <si>
    <t>Přesuny</t>
  </si>
  <si>
    <t>Typ skupiny</t>
  </si>
  <si>
    <t>HSV mat</t>
  </si>
  <si>
    <t>HSV prac</t>
  </si>
  <si>
    <t>PSV mat</t>
  </si>
  <si>
    <t>PSV prac</t>
  </si>
  <si>
    <t>Mont mat</t>
  </si>
  <si>
    <t>Mont prac</t>
  </si>
  <si>
    <t>Ostatní mat.</t>
  </si>
  <si>
    <t>MAT</t>
  </si>
  <si>
    <t>WORK</t>
  </si>
  <si>
    <t>CELK</t>
  </si>
  <si>
    <t>11</t>
  </si>
  <si>
    <t>Přípravné a přidružené práce</t>
  </si>
  <si>
    <t>1</t>
  </si>
  <si>
    <t>113151112R00</t>
  </si>
  <si>
    <t>Fréz.živič.krytu pl.do 500 m2,pruh do 75 cm,tl.3cm</t>
  </si>
  <si>
    <t>m2</t>
  </si>
  <si>
    <t>11_</t>
  </si>
  <si>
    <t>1_</t>
  </si>
  <si>
    <t>_</t>
  </si>
  <si>
    <t>13</t>
  </si>
  <si>
    <t>Hloubené vykopávky</t>
  </si>
  <si>
    <t>2</t>
  </si>
  <si>
    <t>132301110R00</t>
  </si>
  <si>
    <t>Hloubení rýh š.do 60 cm v hor.4 do 50 m3,STROJNĚ</t>
  </si>
  <si>
    <t>m3</t>
  </si>
  <si>
    <t>13_</t>
  </si>
  <si>
    <t>3</t>
  </si>
  <si>
    <t>132301219R00</t>
  </si>
  <si>
    <t>Přípl.za lepivost,hloubení rýh 200cm,hor.4,STROJNĚ</t>
  </si>
  <si>
    <t>4</t>
  </si>
  <si>
    <t>133201101R00</t>
  </si>
  <si>
    <t>Hloubení šachet v hor.3 do 100 m3</t>
  </si>
  <si>
    <t>5</t>
  </si>
  <si>
    <t>133201109R00</t>
  </si>
  <si>
    <t>Příplatek za lepivost - hloubení šachet v hor.3</t>
  </si>
  <si>
    <t>16</t>
  </si>
  <si>
    <t>Přemístění výkopku</t>
  </si>
  <si>
    <t>6</t>
  </si>
  <si>
    <t>162601102RT3</t>
  </si>
  <si>
    <t>Vodorovné přemístění výkopku z hor.1-4 do 5000 m</t>
  </si>
  <si>
    <t>16_</t>
  </si>
  <si>
    <t>19</t>
  </si>
  <si>
    <t>Hloubení pro podzemní stěny, ražení a hloubení důlní</t>
  </si>
  <si>
    <t>7</t>
  </si>
  <si>
    <t>199000002R00</t>
  </si>
  <si>
    <t>Poplatek za skládku horniny 1- 4</t>
  </si>
  <si>
    <t>t</t>
  </si>
  <si>
    <t>19_</t>
  </si>
  <si>
    <t>8</t>
  </si>
  <si>
    <t>Poplatek za skládku umělý povrch</t>
  </si>
  <si>
    <t>27</t>
  </si>
  <si>
    <t>Základy</t>
  </si>
  <si>
    <t>9</t>
  </si>
  <si>
    <t>275313611R00</t>
  </si>
  <si>
    <t>Beton základových patek prostý C 16/20</t>
  </si>
  <si>
    <t>27_</t>
  </si>
  <si>
    <t>2_</t>
  </si>
  <si>
    <t>10</t>
  </si>
  <si>
    <t>275351215RT1</t>
  </si>
  <si>
    <t>Bednění stěn základových patek - zřízení</t>
  </si>
  <si>
    <t>275351216R00</t>
  </si>
  <si>
    <t>Bednění stěn základových patek - odstranění</t>
  </si>
  <si>
    <t>12</t>
  </si>
  <si>
    <t>274313511R00</t>
  </si>
  <si>
    <t>Beton základových pasů prostý C 12/15</t>
  </si>
  <si>
    <t>274361214R00</t>
  </si>
  <si>
    <t>Výztuž základových pasů do 12 mm z oceli 10505 (R)</t>
  </si>
  <si>
    <t>34</t>
  </si>
  <si>
    <t>Stěny a příčky</t>
  </si>
  <si>
    <t>14</t>
  </si>
  <si>
    <t>R338 17-0401</t>
  </si>
  <si>
    <t>Síť pro oplocení, vč.lanek a zastínění</t>
  </si>
  <si>
    <t>34_</t>
  </si>
  <si>
    <t>3_</t>
  </si>
  <si>
    <t>15</t>
  </si>
  <si>
    <t>348121122R00</t>
  </si>
  <si>
    <t>Osazování faceblocků, okr</t>
  </si>
  <si>
    <t>kus</t>
  </si>
  <si>
    <t>45</t>
  </si>
  <si>
    <t>Podkladní a vedlejší konstrukce (kromě vozovek a železničního svršku)</t>
  </si>
  <si>
    <t>458501111R00</t>
  </si>
  <si>
    <t>Výplň za zídkou z kameniva se zhutněním</t>
  </si>
  <si>
    <t>45_</t>
  </si>
  <si>
    <t>4_</t>
  </si>
  <si>
    <t>17</t>
  </si>
  <si>
    <t>451541111R00</t>
  </si>
  <si>
    <t>Lože pod obrubníkyze štěrkodrtě</t>
  </si>
  <si>
    <t>51</t>
  </si>
  <si>
    <t>Umělé sportovní povrchy</t>
  </si>
  <si>
    <t>18</t>
  </si>
  <si>
    <t>410R00</t>
  </si>
  <si>
    <t>Lajnování, lajna š.50mm</t>
  </si>
  <si>
    <t>m</t>
  </si>
  <si>
    <t>51_</t>
  </si>
  <si>
    <t>5_</t>
  </si>
  <si>
    <t>58</t>
  </si>
  <si>
    <t>Kryty pozemních komunikací, letišť a ploch z betonu a ostatních hmot</t>
  </si>
  <si>
    <t>589152006RT3</t>
  </si>
  <si>
    <t>Kryt sport. ploch z pryž. dlaždic tl. 50 mm (puzzle), červ.,zel.</t>
  </si>
  <si>
    <t>58_</t>
  </si>
  <si>
    <t>63</t>
  </si>
  <si>
    <t>Podlahy a podlahové konstrukce</t>
  </si>
  <si>
    <t>20</t>
  </si>
  <si>
    <t>632473120R00</t>
  </si>
  <si>
    <t>Potěr samonivelační ručně tl. 20 mm</t>
  </si>
  <si>
    <t>63_</t>
  </si>
  <si>
    <t>6_</t>
  </si>
  <si>
    <t>762</t>
  </si>
  <si>
    <t>Konstrukce tesařské</t>
  </si>
  <si>
    <t>21</t>
  </si>
  <si>
    <t>762112110R00</t>
  </si>
  <si>
    <t>Montáž konstrukce stěn z řeziva hraněn. do 120 cm2</t>
  </si>
  <si>
    <t>762_</t>
  </si>
  <si>
    <t>76_</t>
  </si>
  <si>
    <t>767</t>
  </si>
  <si>
    <t>Konstrukce doplňkové stavební (zámečnické)</t>
  </si>
  <si>
    <t>22</t>
  </si>
  <si>
    <t>767995104R00</t>
  </si>
  <si>
    <t>Výroba a montáž kov. atypických konstr. do 50 kg</t>
  </si>
  <si>
    <t>kg</t>
  </si>
  <si>
    <t>767_</t>
  </si>
  <si>
    <t>23</t>
  </si>
  <si>
    <t>767920220R00</t>
  </si>
  <si>
    <t>Montáž vrat na ocelové sloupky, plochy do 4 m2</t>
  </si>
  <si>
    <t>24</t>
  </si>
  <si>
    <t>767920230R00</t>
  </si>
  <si>
    <t>Montáž vrat na ocelové sloupky, plochy do 6 m2</t>
  </si>
  <si>
    <t>783</t>
  </si>
  <si>
    <t>Nátěry</t>
  </si>
  <si>
    <t>25</t>
  </si>
  <si>
    <t>783132110R00</t>
  </si>
  <si>
    <t>Nátěr akrylátový</t>
  </si>
  <si>
    <t>783_</t>
  </si>
  <si>
    <t>78_</t>
  </si>
  <si>
    <t>26</t>
  </si>
  <si>
    <t>783726200R00</t>
  </si>
  <si>
    <t>Nátěr synt. lazurovací tesařských konstr. 2x</t>
  </si>
  <si>
    <t>91</t>
  </si>
  <si>
    <t>Doplňující konstrukce a práce na pozemních komunikacích a zpevněných plochách</t>
  </si>
  <si>
    <t>916561111RT7</t>
  </si>
  <si>
    <t>Osazení gumových obrubníků  do lože z C 12/15 s opěrou, 100/250/50</t>
  </si>
  <si>
    <t>91_</t>
  </si>
  <si>
    <t>9_</t>
  </si>
  <si>
    <t>28</t>
  </si>
  <si>
    <t>918101111R00</t>
  </si>
  <si>
    <t>Lože pod obrubníky nebo obruby dlažeb z C 12/15</t>
  </si>
  <si>
    <t>96</t>
  </si>
  <si>
    <t>Bourání konstrukcí</t>
  </si>
  <si>
    <t>29</t>
  </si>
  <si>
    <t>961044111R00</t>
  </si>
  <si>
    <t>Bourání základů z betonu prostého</t>
  </si>
  <si>
    <t>96_</t>
  </si>
  <si>
    <t>30</t>
  </si>
  <si>
    <t>966077121R00</t>
  </si>
  <si>
    <t>Odstranění doplňkových konstrukcí do 50 kg</t>
  </si>
  <si>
    <t>97</t>
  </si>
  <si>
    <t>Prorážení otvorů a ostatní bourací práce</t>
  </si>
  <si>
    <t>31</t>
  </si>
  <si>
    <t>972 R</t>
  </si>
  <si>
    <t>Vyvrtání děr DN 12 mm, perforace asf.betonu</t>
  </si>
  <si>
    <t>97_</t>
  </si>
  <si>
    <t>Ostatní materiál</t>
  </si>
  <si>
    <t>32</t>
  </si>
  <si>
    <t>60512685</t>
  </si>
  <si>
    <t>Fošna SM/BO tl. 30-60 mm dl. do 4 m š. 120-240 mm, hrany sraženy</t>
  </si>
  <si>
    <t>0</t>
  </si>
  <si>
    <t>Z99999_</t>
  </si>
  <si>
    <t>Z_</t>
  </si>
  <si>
    <t>33</t>
  </si>
  <si>
    <t>14587292R</t>
  </si>
  <si>
    <t>Profil čtvercový uzavř.svařovaný  80x80 x 4 mm, pozink,vč.ok a konzol</t>
  </si>
  <si>
    <t>Celkem:</t>
  </si>
  <si>
    <t>Poznámka:</t>
  </si>
  <si>
    <t>Krycí list rozpočtu</t>
  </si>
  <si>
    <t>IČ/DIČ:</t>
  </si>
  <si>
    <t>00635731/</t>
  </si>
  <si>
    <t>Položek:</t>
  </si>
  <si>
    <t>Datum:</t>
  </si>
  <si>
    <t>Rozpočtové náklady v Kč</t>
  </si>
  <si>
    <t>A</t>
  </si>
  <si>
    <t>Základní rozpočtové náklady</t>
  </si>
  <si>
    <t>B</t>
  </si>
  <si>
    <t>Doplňkové náklady</t>
  </si>
  <si>
    <t>C</t>
  </si>
  <si>
    <t>Náklady na umístění stavby (NUS)</t>
  </si>
  <si>
    <t>HSV</t>
  </si>
  <si>
    <t>Dodávky</t>
  </si>
  <si>
    <t>Práce přesčas</t>
  </si>
  <si>
    <t>Zařízení staveniště</t>
  </si>
  <si>
    <t>Bez pevné podl.</t>
  </si>
  <si>
    <t>Mimostav. doprava</t>
  </si>
  <si>
    <t>PSV</t>
  </si>
  <si>
    <t>Kulturní památka</t>
  </si>
  <si>
    <t>Územní vlivy</t>
  </si>
  <si>
    <t>Provozní vlivy</t>
  </si>
  <si>
    <t>"M"</t>
  </si>
  <si>
    <t>Ostatní</t>
  </si>
  <si>
    <t>NUS z rozpočtu</t>
  </si>
  <si>
    <t>Přesun hmot a sutí</t>
  </si>
  <si>
    <t>ZRN celkem</t>
  </si>
  <si>
    <t>DN celkem</t>
  </si>
  <si>
    <t>NUS celkem</t>
  </si>
  <si>
    <t>DN celkem z obj.</t>
  </si>
  <si>
    <t>NUS celkem z obj.</t>
  </si>
  <si>
    <t>ORN celkem</t>
  </si>
  <si>
    <t>ORN celkem z obj.</t>
  </si>
  <si>
    <t>Základ 0%</t>
  </si>
  <si>
    <t>Základ 15%</t>
  </si>
  <si>
    <t>DPH 15%</t>
  </si>
  <si>
    <t>Celkem bez DPH</t>
  </si>
  <si>
    <t>Základ 21%</t>
  </si>
  <si>
    <t>DPH 21%</t>
  </si>
  <si>
    <t>Celkem včetně DPH</t>
  </si>
  <si>
    <t>Projektant</t>
  </si>
  <si>
    <t>Objednatel</t>
  </si>
  <si>
    <t>Zhotovitel</t>
  </si>
  <si>
    <t>Datum, razítko a podpis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</si>
</sst>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#,##0.00"/>
  </numFmts>
  <fonts count="10">
    <font>
      <sz val="10"/>
      <name val="Arial"/>
      <family val="2"/>
    </font>
    <font>
      <sz val="18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i/>
      <sz val="8"/>
      <color indexed="8"/>
      <name val="Arial"/>
      <family val="2"/>
    </font>
    <font>
      <b/>
      <sz val="18"/>
      <color indexed="8"/>
      <name val="Arial"/>
      <family val="2"/>
    </font>
    <font>
      <b/>
      <sz val="20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79">
    <xf numFmtId="164" fontId="0" fillId="0" borderId="0" xfId="0" applyAlignment="1">
      <alignment/>
    </xf>
    <xf numFmtId="164" fontId="0" fillId="0" borderId="0" xfId="0" applyFont="1" applyAlignment="1">
      <alignment/>
    </xf>
    <xf numFmtId="165" fontId="1" fillId="0" borderId="1" xfId="0" applyNumberFormat="1" applyFont="1" applyFill="1" applyBorder="1" applyAlignment="1" applyProtection="1">
      <alignment horizontal="center"/>
      <protection/>
    </xf>
    <xf numFmtId="164" fontId="2" fillId="0" borderId="2" xfId="0" applyNumberFormat="1" applyFont="1" applyFill="1" applyBorder="1" applyAlignment="1" applyProtection="1">
      <alignment horizontal="left" vertical="center" wrapText="1"/>
      <protection/>
    </xf>
    <xf numFmtId="164" fontId="3" fillId="0" borderId="3" xfId="0" applyNumberFormat="1" applyFont="1" applyFill="1" applyBorder="1" applyAlignment="1" applyProtection="1">
      <alignment horizontal="left" vertical="center" wrapText="1"/>
      <protection/>
    </xf>
    <xf numFmtId="165" fontId="2" fillId="0" borderId="3" xfId="0" applyNumberFormat="1" applyFont="1" applyFill="1" applyBorder="1" applyAlignment="1" applyProtection="1">
      <alignment horizontal="left" vertical="center"/>
      <protection/>
    </xf>
    <xf numFmtId="164" fontId="2" fillId="0" borderId="3" xfId="0" applyNumberFormat="1" applyFont="1" applyFill="1" applyBorder="1" applyAlignment="1" applyProtection="1">
      <alignment horizontal="left" vertical="center" wrapText="1"/>
      <protection/>
    </xf>
    <xf numFmtId="164" fontId="2" fillId="0" borderId="4" xfId="0" applyNumberFormat="1" applyFont="1" applyFill="1" applyBorder="1" applyAlignment="1" applyProtection="1">
      <alignment horizontal="left" vertical="center" wrapText="1"/>
      <protection/>
    </xf>
    <xf numFmtId="164" fontId="2" fillId="0" borderId="5" xfId="0" applyNumberFormat="1" applyFont="1" applyFill="1" applyBorder="1" applyAlignment="1" applyProtection="1">
      <alignment vertical="center"/>
      <protection/>
    </xf>
    <xf numFmtId="164" fontId="2" fillId="0" borderId="5" xfId="0" applyNumberFormat="1" applyFont="1" applyFill="1" applyBorder="1" applyAlignment="1" applyProtection="1">
      <alignment horizontal="left" vertical="center" wrapText="1"/>
      <protection/>
    </xf>
    <xf numFmtId="164" fontId="2" fillId="0" borderId="0" xfId="0" applyNumberFormat="1" applyFont="1" applyFill="1" applyBorder="1" applyAlignment="1" applyProtection="1">
      <alignment horizontal="left" vertical="center" wrapText="1"/>
      <protection/>
    </xf>
    <xf numFmtId="165" fontId="2" fillId="0" borderId="0" xfId="0" applyNumberFormat="1" applyFont="1" applyFill="1" applyBorder="1" applyAlignment="1" applyProtection="1">
      <alignment horizontal="left" vertical="center"/>
      <protection/>
    </xf>
    <xf numFmtId="164" fontId="2" fillId="0" borderId="6" xfId="0" applyNumberFormat="1" applyFont="1" applyFill="1" applyBorder="1" applyAlignment="1" applyProtection="1">
      <alignment horizontal="left" vertical="center" wrapText="1"/>
      <protection/>
    </xf>
    <xf numFmtId="164" fontId="2" fillId="0" borderId="7" xfId="0" applyNumberFormat="1" applyFont="1" applyFill="1" applyBorder="1" applyAlignment="1" applyProtection="1">
      <alignment horizontal="left" vertical="center" wrapText="1"/>
      <protection/>
    </xf>
    <xf numFmtId="164" fontId="2" fillId="0" borderId="8" xfId="0" applyNumberFormat="1" applyFont="1" applyFill="1" applyBorder="1" applyAlignment="1" applyProtection="1">
      <alignment horizontal="left" vertical="center" wrapText="1"/>
      <protection/>
    </xf>
    <xf numFmtId="165" fontId="2" fillId="0" borderId="8" xfId="0" applyNumberFormat="1" applyFont="1" applyFill="1" applyBorder="1" applyAlignment="1" applyProtection="1">
      <alignment horizontal="left" vertical="center"/>
      <protection/>
    </xf>
    <xf numFmtId="164" fontId="2" fillId="0" borderId="9" xfId="0" applyNumberFormat="1" applyFont="1" applyFill="1" applyBorder="1" applyAlignment="1" applyProtection="1">
      <alignment horizontal="left" vertical="center" wrapText="1"/>
      <protection/>
    </xf>
    <xf numFmtId="165" fontId="3" fillId="0" borderId="10" xfId="0" applyNumberFormat="1" applyFont="1" applyFill="1" applyBorder="1" applyAlignment="1" applyProtection="1">
      <alignment horizontal="left" vertical="center"/>
      <protection/>
    </xf>
    <xf numFmtId="165" fontId="3" fillId="0" borderId="11" xfId="0" applyNumberFormat="1" applyFont="1" applyFill="1" applyBorder="1" applyAlignment="1" applyProtection="1">
      <alignment horizontal="left" vertical="center"/>
      <protection/>
    </xf>
    <xf numFmtId="165" fontId="3" fillId="0" borderId="11" xfId="0" applyNumberFormat="1" applyFont="1" applyFill="1" applyBorder="1" applyAlignment="1" applyProtection="1">
      <alignment horizontal="center" vertical="center"/>
      <protection/>
    </xf>
    <xf numFmtId="165" fontId="3" fillId="0" borderId="12" xfId="0" applyNumberFormat="1" applyFont="1" applyFill="1" applyBorder="1" applyAlignment="1" applyProtection="1">
      <alignment horizontal="center" vertical="center"/>
      <protection/>
    </xf>
    <xf numFmtId="165" fontId="3" fillId="0" borderId="13" xfId="0" applyNumberFormat="1" applyFont="1" applyFill="1" applyBorder="1" applyAlignment="1" applyProtection="1">
      <alignment horizontal="center" vertical="center"/>
      <protection/>
    </xf>
    <xf numFmtId="165" fontId="3" fillId="0" borderId="14" xfId="0" applyNumberFormat="1" applyFont="1" applyFill="1" applyBorder="1" applyAlignment="1" applyProtection="1">
      <alignment horizontal="center" vertical="center"/>
      <protection/>
    </xf>
    <xf numFmtId="164" fontId="2" fillId="0" borderId="15" xfId="0" applyNumberFormat="1" applyFont="1" applyFill="1" applyBorder="1" applyAlignment="1" applyProtection="1">
      <alignment vertical="center"/>
      <protection/>
    </xf>
    <xf numFmtId="165" fontId="2" fillId="0" borderId="16" xfId="0" applyNumberFormat="1" applyFont="1" applyFill="1" applyBorder="1" applyAlignment="1" applyProtection="1">
      <alignment horizontal="left" vertical="center"/>
      <protection/>
    </xf>
    <xf numFmtId="165" fontId="2" fillId="0" borderId="17" xfId="0" applyNumberFormat="1" applyFont="1" applyFill="1" applyBorder="1" applyAlignment="1" applyProtection="1">
      <alignment horizontal="left" vertical="center"/>
      <protection/>
    </xf>
    <xf numFmtId="165" fontId="3" fillId="0" borderId="17" xfId="0" applyNumberFormat="1" applyFont="1" applyFill="1" applyBorder="1" applyAlignment="1" applyProtection="1">
      <alignment horizontal="left" vertical="center"/>
      <protection/>
    </xf>
    <xf numFmtId="165" fontId="3" fillId="0" borderId="18" xfId="0" applyNumberFormat="1" applyFont="1" applyFill="1" applyBorder="1" applyAlignment="1" applyProtection="1">
      <alignment horizontal="center" vertical="center"/>
      <protection/>
    </xf>
    <xf numFmtId="165" fontId="3" fillId="0" borderId="19" xfId="0" applyNumberFormat="1" applyFont="1" applyFill="1" applyBorder="1" applyAlignment="1" applyProtection="1">
      <alignment horizontal="center" vertical="center"/>
      <protection/>
    </xf>
    <xf numFmtId="165" fontId="3" fillId="0" borderId="20" xfId="0" applyNumberFormat="1" applyFont="1" applyFill="1" applyBorder="1" applyAlignment="1" applyProtection="1">
      <alignment horizontal="center" vertical="center"/>
      <protection/>
    </xf>
    <xf numFmtId="165" fontId="3" fillId="0" borderId="21" xfId="0" applyNumberFormat="1" applyFont="1" applyFill="1" applyBorder="1" applyAlignment="1" applyProtection="1">
      <alignment horizontal="center" vertical="center"/>
      <protection/>
    </xf>
    <xf numFmtId="165" fontId="3" fillId="0" borderId="22" xfId="0" applyNumberFormat="1" applyFont="1" applyFill="1" applyBorder="1" applyAlignment="1" applyProtection="1">
      <alignment horizontal="center" vertical="center"/>
      <protection/>
    </xf>
    <xf numFmtId="165" fontId="3" fillId="2" borderId="0" xfId="0" applyNumberFormat="1" applyFont="1" applyFill="1" applyBorder="1" applyAlignment="1" applyProtection="1">
      <alignment horizontal="right" vertical="center"/>
      <protection/>
    </xf>
    <xf numFmtId="165" fontId="2" fillId="2" borderId="23" xfId="0" applyNumberFormat="1" applyFont="1" applyFill="1" applyBorder="1" applyAlignment="1" applyProtection="1">
      <alignment horizontal="left" vertical="center"/>
      <protection/>
    </xf>
    <xf numFmtId="165" fontId="3" fillId="2" borderId="23" xfId="0" applyNumberFormat="1" applyFont="1" applyFill="1" applyBorder="1" applyAlignment="1" applyProtection="1">
      <alignment horizontal="left" vertical="center"/>
      <protection/>
    </xf>
    <xf numFmtId="166" fontId="3" fillId="2" borderId="23" xfId="0" applyNumberFormat="1" applyFont="1" applyFill="1" applyBorder="1" applyAlignment="1" applyProtection="1">
      <alignment horizontal="right" vertical="center"/>
      <protection/>
    </xf>
    <xf numFmtId="165" fontId="3" fillId="2" borderId="23" xfId="0" applyNumberFormat="1" applyFont="1" applyFill="1" applyBorder="1" applyAlignment="1" applyProtection="1">
      <alignment horizontal="right" vertical="center"/>
      <protection/>
    </xf>
    <xf numFmtId="166" fontId="3" fillId="2" borderId="0" xfId="0" applyNumberFormat="1" applyFont="1" applyFill="1" applyBorder="1" applyAlignment="1" applyProtection="1">
      <alignment horizontal="right" vertical="center"/>
      <protection/>
    </xf>
    <xf numFmtId="166" fontId="2" fillId="0" borderId="0" xfId="0" applyNumberFormat="1" applyFont="1" applyFill="1" applyBorder="1" applyAlignment="1" applyProtection="1">
      <alignment horizontal="right" vertical="center"/>
      <protection/>
    </xf>
    <xf numFmtId="165" fontId="2" fillId="0" borderId="0" xfId="0" applyNumberFormat="1" applyFont="1" applyFill="1" applyBorder="1" applyAlignment="1" applyProtection="1">
      <alignment horizontal="right" vertical="center"/>
      <protection/>
    </xf>
    <xf numFmtId="165" fontId="2" fillId="2" borderId="0" xfId="0" applyNumberFormat="1" applyFont="1" applyFill="1" applyBorder="1" applyAlignment="1" applyProtection="1">
      <alignment horizontal="left" vertical="center"/>
      <protection/>
    </xf>
    <xf numFmtId="165" fontId="3" fillId="2" borderId="0" xfId="0" applyNumberFormat="1" applyFont="1" applyFill="1" applyBorder="1" applyAlignment="1" applyProtection="1">
      <alignment horizontal="left" vertical="center"/>
      <protection/>
    </xf>
    <xf numFmtId="165" fontId="2" fillId="0" borderId="1" xfId="0" applyNumberFormat="1" applyFont="1" applyFill="1" applyBorder="1" applyAlignment="1" applyProtection="1">
      <alignment horizontal="left" vertical="center"/>
      <protection/>
    </xf>
    <xf numFmtId="166" fontId="2" fillId="0" borderId="1" xfId="0" applyNumberFormat="1" applyFont="1" applyFill="1" applyBorder="1" applyAlignment="1" applyProtection="1">
      <alignment horizontal="right" vertical="center"/>
      <protection/>
    </xf>
    <xf numFmtId="165" fontId="2" fillId="0" borderId="1" xfId="0" applyNumberFormat="1" applyFont="1" applyFill="1" applyBorder="1" applyAlignment="1" applyProtection="1">
      <alignment horizontal="right" vertical="center"/>
      <protection/>
    </xf>
    <xf numFmtId="164" fontId="2" fillId="0" borderId="3" xfId="0" applyNumberFormat="1" applyFont="1" applyFill="1" applyBorder="1" applyAlignment="1" applyProtection="1">
      <alignment vertical="center"/>
      <protection/>
    </xf>
    <xf numFmtId="165" fontId="3" fillId="0" borderId="3" xfId="0" applyNumberFormat="1" applyFont="1" applyFill="1" applyBorder="1" applyAlignment="1" applyProtection="1">
      <alignment horizontal="left" vertical="center"/>
      <protection/>
    </xf>
    <xf numFmtId="166" fontId="3" fillId="0" borderId="3" xfId="0" applyNumberFormat="1" applyFont="1" applyFill="1" applyBorder="1" applyAlignment="1" applyProtection="1">
      <alignment horizontal="right" vertical="center"/>
      <protection/>
    </xf>
    <xf numFmtId="165" fontId="4" fillId="0" borderId="0" xfId="0" applyNumberFormat="1" applyFont="1" applyFill="1" applyBorder="1" applyAlignment="1" applyProtection="1">
      <alignment horizontal="left" vertical="center"/>
      <protection/>
    </xf>
    <xf numFmtId="164" fontId="2" fillId="0" borderId="1" xfId="0" applyNumberFormat="1" applyFont="1" applyFill="1" applyBorder="1" applyAlignment="1" applyProtection="1">
      <alignment/>
      <protection/>
    </xf>
    <xf numFmtId="164" fontId="2" fillId="0" borderId="1" xfId="0" applyNumberFormat="1" applyFont="1" applyFill="1" applyBorder="1" applyAlignment="1" applyProtection="1">
      <alignment vertical="center"/>
      <protection/>
    </xf>
    <xf numFmtId="164" fontId="1" fillId="0" borderId="1" xfId="0" applyNumberFormat="1" applyFont="1" applyFill="1" applyBorder="1" applyAlignment="1" applyProtection="1">
      <alignment horizontal="center" vertical="center" wrapText="1"/>
      <protection/>
    </xf>
    <xf numFmtId="165" fontId="2" fillId="0" borderId="4" xfId="0" applyNumberFormat="1" applyFont="1" applyFill="1" applyBorder="1" applyAlignment="1" applyProtection="1">
      <alignment horizontal="left" vertical="center"/>
      <protection/>
    </xf>
    <xf numFmtId="165" fontId="2" fillId="0" borderId="6" xfId="0" applyNumberFormat="1" applyFont="1" applyFill="1" applyBorder="1" applyAlignment="1" applyProtection="1">
      <alignment horizontal="left" vertical="center"/>
      <protection/>
    </xf>
    <xf numFmtId="164" fontId="2" fillId="0" borderId="24" xfId="0" applyNumberFormat="1" applyFont="1" applyFill="1" applyBorder="1" applyAlignment="1" applyProtection="1">
      <alignment horizontal="left" vertical="center" wrapText="1"/>
      <protection/>
    </xf>
    <xf numFmtId="164" fontId="2" fillId="0" borderId="1" xfId="0" applyNumberFormat="1" applyFont="1" applyFill="1" applyBorder="1" applyAlignment="1" applyProtection="1">
      <alignment horizontal="left" vertical="center" wrapText="1"/>
      <protection/>
    </xf>
    <xf numFmtId="164" fontId="2" fillId="0" borderId="25" xfId="0" applyNumberFormat="1" applyFont="1" applyFill="1" applyBorder="1" applyAlignment="1" applyProtection="1">
      <alignment horizontal="left" vertical="center" wrapText="1"/>
      <protection/>
    </xf>
    <xf numFmtId="165" fontId="5" fillId="0" borderId="26" xfId="0" applyNumberFormat="1" applyFont="1" applyFill="1" applyBorder="1" applyAlignment="1" applyProtection="1">
      <alignment horizontal="center" vertical="center"/>
      <protection/>
    </xf>
    <xf numFmtId="165" fontId="6" fillId="2" borderId="27" xfId="0" applyNumberFormat="1" applyFont="1" applyFill="1" applyBorder="1" applyAlignment="1" applyProtection="1">
      <alignment horizontal="center" vertical="center"/>
      <protection/>
    </xf>
    <xf numFmtId="165" fontId="7" fillId="0" borderId="27" xfId="0" applyNumberFormat="1" applyFont="1" applyFill="1" applyBorder="1" applyAlignment="1" applyProtection="1">
      <alignment horizontal="left" vertical="center"/>
      <protection/>
    </xf>
    <xf numFmtId="165" fontId="8" fillId="0" borderId="28" xfId="0" applyNumberFormat="1" applyFont="1" applyFill="1" applyBorder="1" applyAlignment="1" applyProtection="1">
      <alignment horizontal="left" vertical="center"/>
      <protection/>
    </xf>
    <xf numFmtId="165" fontId="9" fillId="0" borderId="27" xfId="0" applyNumberFormat="1" applyFont="1" applyFill="1" applyBorder="1" applyAlignment="1" applyProtection="1">
      <alignment horizontal="left" vertical="center"/>
      <protection/>
    </xf>
    <xf numFmtId="166" fontId="9" fillId="0" borderId="27" xfId="0" applyNumberFormat="1" applyFont="1" applyFill="1" applyBorder="1" applyAlignment="1" applyProtection="1">
      <alignment horizontal="right" vertical="center"/>
      <protection/>
    </xf>
    <xf numFmtId="165" fontId="8" fillId="0" borderId="29" xfId="0" applyNumberFormat="1" applyFont="1" applyFill="1" applyBorder="1" applyAlignment="1" applyProtection="1">
      <alignment horizontal="left" vertical="center"/>
      <protection/>
    </xf>
    <xf numFmtId="165" fontId="9" fillId="0" borderId="27" xfId="0" applyNumberFormat="1" applyFont="1" applyFill="1" applyBorder="1" applyAlignment="1" applyProtection="1">
      <alignment horizontal="right" vertical="center"/>
      <protection/>
    </xf>
    <xf numFmtId="165" fontId="8" fillId="0" borderId="27" xfId="0" applyNumberFormat="1" applyFont="1" applyFill="1" applyBorder="1" applyAlignment="1" applyProtection="1">
      <alignment horizontal="left" vertical="center"/>
      <protection/>
    </xf>
    <xf numFmtId="164" fontId="2" fillId="0" borderId="4" xfId="0" applyNumberFormat="1" applyFont="1" applyFill="1" applyBorder="1" applyAlignment="1" applyProtection="1">
      <alignment vertical="center"/>
      <protection/>
    </xf>
    <xf numFmtId="166" fontId="9" fillId="0" borderId="20" xfId="0" applyNumberFormat="1" applyFont="1" applyFill="1" applyBorder="1" applyAlignment="1" applyProtection="1">
      <alignment horizontal="right" vertical="center"/>
      <protection/>
    </xf>
    <xf numFmtId="164" fontId="2" fillId="0" borderId="30" xfId="0" applyNumberFormat="1" applyFont="1" applyFill="1" applyBorder="1" applyAlignment="1" applyProtection="1">
      <alignment vertical="center"/>
      <protection/>
    </xf>
    <xf numFmtId="164" fontId="2" fillId="0" borderId="6" xfId="0" applyNumberFormat="1" applyFont="1" applyFill="1" applyBorder="1" applyAlignment="1" applyProtection="1">
      <alignment vertical="center"/>
      <protection/>
    </xf>
    <xf numFmtId="165" fontId="8" fillId="2" borderId="31" xfId="0" applyNumberFormat="1" applyFont="1" applyFill="1" applyBorder="1" applyAlignment="1" applyProtection="1">
      <alignment horizontal="left" vertical="center"/>
      <protection/>
    </xf>
    <xf numFmtId="166" fontId="8" fillId="2" borderId="32" xfId="0" applyNumberFormat="1" applyFont="1" applyFill="1" applyBorder="1" applyAlignment="1" applyProtection="1">
      <alignment horizontal="right" vertical="center"/>
      <protection/>
    </xf>
    <xf numFmtId="164" fontId="2" fillId="0" borderId="24" xfId="0" applyNumberFormat="1" applyFont="1" applyFill="1" applyBorder="1" applyAlignment="1" applyProtection="1">
      <alignment vertical="center"/>
      <protection/>
    </xf>
    <xf numFmtId="164" fontId="2" fillId="0" borderId="33" xfId="0" applyNumberFormat="1" applyFont="1" applyFill="1" applyBorder="1" applyAlignment="1" applyProtection="1">
      <alignment vertical="center"/>
      <protection/>
    </xf>
    <xf numFmtId="165" fontId="9" fillId="0" borderId="14" xfId="0" applyNumberFormat="1" applyFont="1" applyFill="1" applyBorder="1" applyAlignment="1" applyProtection="1">
      <alignment horizontal="left" vertical="center"/>
      <protection/>
    </xf>
    <xf numFmtId="165" fontId="9" fillId="0" borderId="34" xfId="0" applyNumberFormat="1" applyFont="1" applyFill="1" applyBorder="1" applyAlignment="1" applyProtection="1">
      <alignment horizontal="left" vertical="center"/>
      <protection/>
    </xf>
    <xf numFmtId="165" fontId="9" fillId="0" borderId="22" xfId="0" applyNumberFormat="1" applyFont="1" applyFill="1" applyBorder="1" applyAlignment="1" applyProtection="1">
      <alignment horizontal="left" vertical="center"/>
      <protection/>
    </xf>
    <xf numFmtId="165" fontId="4" fillId="0" borderId="23" xfId="0" applyNumberFormat="1" applyFont="1" applyFill="1" applyBorder="1" applyAlignment="1" applyProtection="1">
      <alignment horizontal="left" vertical="center"/>
      <protection/>
    </xf>
    <xf numFmtId="164" fontId="2" fillId="0" borderId="23" xfId="0" applyNumberFormat="1" applyFont="1" applyFill="1" applyBorder="1" applyAlignment="1" applyProtection="1">
      <alignment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J64"/>
  <sheetViews>
    <sheetView workbookViewId="0" topLeftCell="A1">
      <pane ySplit="11" topLeftCell="A54" activePane="bottomLeft" state="frozen"/>
      <selection pane="topLeft" activeCell="A1" sqref="A1"/>
      <selection pane="bottomLeft" activeCell="H70" sqref="H70"/>
    </sheetView>
  </sheetViews>
  <sheetFormatPr defaultColWidth="11.421875" defaultRowHeight="12.75"/>
  <cols>
    <col min="1" max="1" width="3.7109375" style="1" customWidth="1"/>
    <col min="2" max="2" width="7.57421875" style="1" customWidth="1"/>
    <col min="3" max="3" width="14.28125" style="1" customWidth="1"/>
    <col min="4" max="4" width="58.8515625" style="1" customWidth="1"/>
    <col min="5" max="5" width="4.28125" style="1" customWidth="1"/>
    <col min="6" max="6" width="12.8515625" style="1" customWidth="1"/>
    <col min="7" max="7" width="12.00390625" style="1" customWidth="1"/>
    <col min="8" max="10" width="14.28125" style="1" customWidth="1"/>
    <col min="11" max="13" width="11.7109375" style="1" customWidth="1"/>
    <col min="14" max="24" width="11.57421875" style="0" customWidth="1"/>
    <col min="25" max="62" width="0" style="1" hidden="1" customWidth="1"/>
    <col min="63" max="16384" width="11.57421875" style="0" customWidth="1"/>
  </cols>
  <sheetData>
    <row r="1" spans="1:13" ht="72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4" ht="12.75" customHeight="1">
      <c r="A2" s="3" t="s">
        <v>1</v>
      </c>
      <c r="B2" s="3"/>
      <c r="C2" s="3"/>
      <c r="D2" s="4" t="s">
        <v>2</v>
      </c>
      <c r="E2" s="5" t="s">
        <v>3</v>
      </c>
      <c r="F2" s="5"/>
      <c r="G2" s="5" t="s">
        <v>4</v>
      </c>
      <c r="H2" s="6" t="s">
        <v>5</v>
      </c>
      <c r="I2" s="7" t="s">
        <v>6</v>
      </c>
      <c r="J2" s="7"/>
      <c r="K2" s="7"/>
      <c r="L2" s="7"/>
      <c r="M2" s="7"/>
      <c r="N2" s="8"/>
    </row>
    <row r="3" spans="1:14" ht="12.75">
      <c r="A3" s="3"/>
      <c r="B3" s="3"/>
      <c r="C3" s="3"/>
      <c r="D3" s="4"/>
      <c r="E3" s="5"/>
      <c r="F3" s="5"/>
      <c r="G3" s="5"/>
      <c r="H3" s="5"/>
      <c r="I3" s="5"/>
      <c r="J3" s="7"/>
      <c r="K3" s="7"/>
      <c r="L3" s="7"/>
      <c r="M3" s="7"/>
      <c r="N3" s="8"/>
    </row>
    <row r="4" spans="1:14" ht="12.75" customHeight="1">
      <c r="A4" s="9" t="s">
        <v>7</v>
      </c>
      <c r="B4" s="9"/>
      <c r="C4" s="9"/>
      <c r="D4" s="10">
        <v>0</v>
      </c>
      <c r="E4" s="11" t="s">
        <v>8</v>
      </c>
      <c r="F4" s="11"/>
      <c r="G4" s="11" t="s">
        <v>9</v>
      </c>
      <c r="H4" s="10" t="s">
        <v>10</v>
      </c>
      <c r="I4" s="12" t="s">
        <v>11</v>
      </c>
      <c r="J4" s="12"/>
      <c r="K4" s="12"/>
      <c r="L4" s="12"/>
      <c r="M4" s="12"/>
      <c r="N4" s="8"/>
    </row>
    <row r="5" spans="1:14" ht="12.75">
      <c r="A5" s="9"/>
      <c r="B5" s="9"/>
      <c r="C5" s="9"/>
      <c r="D5" s="10"/>
      <c r="E5" s="10"/>
      <c r="F5" s="11"/>
      <c r="G5" s="11"/>
      <c r="H5" s="11"/>
      <c r="I5" s="11"/>
      <c r="J5" s="12"/>
      <c r="K5" s="12"/>
      <c r="L5" s="12"/>
      <c r="M5" s="12"/>
      <c r="N5" s="8"/>
    </row>
    <row r="6" spans="1:14" ht="12.75" customHeight="1">
      <c r="A6" s="9" t="s">
        <v>12</v>
      </c>
      <c r="B6" s="9"/>
      <c r="C6" s="9"/>
      <c r="D6" s="10" t="s">
        <v>13</v>
      </c>
      <c r="E6" s="11" t="s">
        <v>14</v>
      </c>
      <c r="F6" s="11"/>
      <c r="G6" s="11" t="s">
        <v>9</v>
      </c>
      <c r="H6" s="10" t="s">
        <v>15</v>
      </c>
      <c r="I6" s="12">
        <v>0</v>
      </c>
      <c r="J6" s="12"/>
      <c r="K6" s="12"/>
      <c r="L6" s="12"/>
      <c r="M6" s="12"/>
      <c r="N6" s="8"/>
    </row>
    <row r="7" spans="1:14" ht="12.75">
      <c r="A7" s="9"/>
      <c r="B7" s="9"/>
      <c r="C7" s="9"/>
      <c r="D7" s="10"/>
      <c r="E7" s="10"/>
      <c r="F7" s="11"/>
      <c r="G7" s="11"/>
      <c r="H7" s="11"/>
      <c r="I7" s="11"/>
      <c r="J7" s="12"/>
      <c r="K7" s="12"/>
      <c r="L7" s="12"/>
      <c r="M7" s="12"/>
      <c r="N7" s="8"/>
    </row>
    <row r="8" spans="1:14" ht="12.75" customHeight="1">
      <c r="A8" s="13" t="s">
        <v>16</v>
      </c>
      <c r="B8" s="13"/>
      <c r="C8" s="13"/>
      <c r="D8" s="14">
        <v>0</v>
      </c>
      <c r="E8" s="15" t="s">
        <v>17</v>
      </c>
      <c r="F8" s="15"/>
      <c r="G8" s="15" t="s">
        <v>18</v>
      </c>
      <c r="H8" s="14" t="s">
        <v>19</v>
      </c>
      <c r="I8" s="16" t="s">
        <v>20</v>
      </c>
      <c r="J8" s="16"/>
      <c r="K8" s="16"/>
      <c r="L8" s="16"/>
      <c r="M8" s="16"/>
      <c r="N8" s="8"/>
    </row>
    <row r="9" spans="1:14" ht="12.75">
      <c r="A9" s="13"/>
      <c r="B9" s="13"/>
      <c r="C9" s="13"/>
      <c r="D9" s="14"/>
      <c r="E9" s="14"/>
      <c r="F9" s="15"/>
      <c r="G9" s="15"/>
      <c r="H9" s="15"/>
      <c r="I9" s="15"/>
      <c r="J9" s="16"/>
      <c r="K9" s="16"/>
      <c r="L9" s="16"/>
      <c r="M9" s="16"/>
      <c r="N9" s="8"/>
    </row>
    <row r="10" spans="1:14" ht="12.75">
      <c r="A10" s="17" t="s">
        <v>21</v>
      </c>
      <c r="B10" s="18" t="s">
        <v>22</v>
      </c>
      <c r="C10" s="18" t="s">
        <v>23</v>
      </c>
      <c r="D10" s="18" t="s">
        <v>24</v>
      </c>
      <c r="E10" s="18" t="s">
        <v>25</v>
      </c>
      <c r="F10" s="19" t="s">
        <v>26</v>
      </c>
      <c r="G10" s="20" t="s">
        <v>27</v>
      </c>
      <c r="H10" s="21" t="s">
        <v>28</v>
      </c>
      <c r="I10" s="21"/>
      <c r="J10" s="21"/>
      <c r="K10" s="21" t="s">
        <v>29</v>
      </c>
      <c r="L10" s="21"/>
      <c r="M10" s="22"/>
      <c r="N10" s="23"/>
    </row>
    <row r="11" spans="1:62" ht="12.75">
      <c r="A11" s="24" t="s">
        <v>4</v>
      </c>
      <c r="B11" s="25" t="s">
        <v>4</v>
      </c>
      <c r="C11" s="25" t="s">
        <v>4</v>
      </c>
      <c r="D11" s="26" t="s">
        <v>30</v>
      </c>
      <c r="E11" s="25" t="s">
        <v>4</v>
      </c>
      <c r="F11" s="25" t="s">
        <v>4</v>
      </c>
      <c r="G11" s="27" t="s">
        <v>31</v>
      </c>
      <c r="H11" s="28" t="s">
        <v>32</v>
      </c>
      <c r="I11" s="29" t="s">
        <v>33</v>
      </c>
      <c r="J11" s="30" t="s">
        <v>34</v>
      </c>
      <c r="K11" s="28" t="s">
        <v>27</v>
      </c>
      <c r="L11" s="30" t="s">
        <v>34</v>
      </c>
      <c r="M11" s="31"/>
      <c r="N11" s="23"/>
      <c r="Z11" s="32" t="s">
        <v>35</v>
      </c>
      <c r="AA11" s="32" t="s">
        <v>36</v>
      </c>
      <c r="AB11" s="32" t="s">
        <v>37</v>
      </c>
      <c r="AC11" s="32" t="s">
        <v>38</v>
      </c>
      <c r="AD11" s="32" t="s">
        <v>39</v>
      </c>
      <c r="AE11" s="32" t="s">
        <v>40</v>
      </c>
      <c r="AF11" s="32" t="s">
        <v>41</v>
      </c>
      <c r="AG11" s="32" t="s">
        <v>42</v>
      </c>
      <c r="AH11" s="32" t="s">
        <v>43</v>
      </c>
      <c r="BH11" s="32" t="s">
        <v>44</v>
      </c>
      <c r="BI11" s="32" t="s">
        <v>45</v>
      </c>
      <c r="BJ11" s="32" t="s">
        <v>46</v>
      </c>
    </row>
    <row r="12" spans="1:47" ht="12.75">
      <c r="A12" s="33"/>
      <c r="B12" s="34"/>
      <c r="C12" s="34" t="s">
        <v>47</v>
      </c>
      <c r="D12" s="34" t="s">
        <v>48</v>
      </c>
      <c r="E12" s="33" t="s">
        <v>4</v>
      </c>
      <c r="F12" s="33" t="s">
        <v>4</v>
      </c>
      <c r="G12" s="33"/>
      <c r="H12" s="35">
        <f>SUM(H13:H13)</f>
        <v>0</v>
      </c>
      <c r="I12" s="35">
        <f>SUM(I13:I13)</f>
        <v>0</v>
      </c>
      <c r="J12" s="35">
        <f>SUM(J13:J13)</f>
        <v>0</v>
      </c>
      <c r="K12" s="36"/>
      <c r="L12" s="35">
        <f>SUM(L13:L13)</f>
        <v>11.55</v>
      </c>
      <c r="M12" s="36"/>
      <c r="AI12" s="32"/>
      <c r="AS12" s="37">
        <f>SUM(AJ13:AJ13)</f>
        <v>0</v>
      </c>
      <c r="AT12" s="37">
        <f>SUM(AK13:AK13)</f>
        <v>0</v>
      </c>
      <c r="AU12" s="37">
        <f>SUM(AL13:AL13)</f>
        <v>0</v>
      </c>
    </row>
    <row r="13" spans="1:62" ht="12.75">
      <c r="A13" s="11" t="s">
        <v>49</v>
      </c>
      <c r="B13" s="11"/>
      <c r="C13" s="11" t="s">
        <v>50</v>
      </c>
      <c r="D13" s="11" t="s">
        <v>51</v>
      </c>
      <c r="E13" s="11" t="s">
        <v>52</v>
      </c>
      <c r="F13" s="38">
        <v>175</v>
      </c>
      <c r="G13" s="38"/>
      <c r="H13" s="38">
        <f>F13*AO13</f>
        <v>0</v>
      </c>
      <c r="I13" s="38">
        <f>F13*AP13</f>
        <v>0</v>
      </c>
      <c r="J13" s="38">
        <f>F13*G13</f>
        <v>0</v>
      </c>
      <c r="K13" s="38">
        <v>0.066</v>
      </c>
      <c r="L13" s="38">
        <f>F13*K13</f>
        <v>11.55</v>
      </c>
      <c r="M13" s="39"/>
      <c r="Z13" s="38">
        <f>IF(AQ13="5",BJ13,0)</f>
        <v>0</v>
      </c>
      <c r="AB13" s="38">
        <f>IF(AQ13="1",BH13,0)</f>
        <v>0</v>
      </c>
      <c r="AC13" s="38">
        <f>IF(AQ13="1",BI13,0)</f>
        <v>0</v>
      </c>
      <c r="AD13" s="38">
        <f>IF(AQ13="7",BH13,0)</f>
        <v>0</v>
      </c>
      <c r="AE13" s="38">
        <f>IF(AQ13="7",BI13,0)</f>
        <v>0</v>
      </c>
      <c r="AF13" s="38">
        <f>IF(AQ13="2",BH13,0)</f>
        <v>0</v>
      </c>
      <c r="AG13" s="38">
        <f>IF(AQ13="2",BI13,0)</f>
        <v>0</v>
      </c>
      <c r="AH13" s="38">
        <f>IF(AQ13="0",BJ13,0)</f>
        <v>0</v>
      </c>
      <c r="AI13" s="32"/>
      <c r="AJ13" s="38">
        <f>IF(AN13=0,J13,0)</f>
        <v>0</v>
      </c>
      <c r="AK13" s="38">
        <f>IF(AN13=15,J13,0)</f>
        <v>0</v>
      </c>
      <c r="AL13" s="38">
        <f>IF(AN13=21,J13,0)</f>
        <v>0</v>
      </c>
      <c r="AN13" s="38">
        <v>21</v>
      </c>
      <c r="AO13" s="38">
        <f>G13*0</f>
        <v>0</v>
      </c>
      <c r="AP13" s="38">
        <f>G13*(1-0)</f>
        <v>0</v>
      </c>
      <c r="AQ13" s="39" t="s">
        <v>49</v>
      </c>
      <c r="AV13" s="38">
        <f>AW13+AX13</f>
        <v>0</v>
      </c>
      <c r="AW13" s="38">
        <f>F13*AO13</f>
        <v>0</v>
      </c>
      <c r="AX13" s="38">
        <f>F13*AP13</f>
        <v>0</v>
      </c>
      <c r="AY13" s="39" t="s">
        <v>53</v>
      </c>
      <c r="AZ13" s="39" t="s">
        <v>54</v>
      </c>
      <c r="BA13" s="32" t="s">
        <v>55</v>
      </c>
      <c r="BC13" s="38">
        <f>AW13+AX13</f>
        <v>0</v>
      </c>
      <c r="BD13" s="38">
        <f>G13/(100-BE13)*100</f>
        <v>0</v>
      </c>
      <c r="BE13" s="38">
        <v>0</v>
      </c>
      <c r="BF13" s="38">
        <f>L13</f>
        <v>11.55</v>
      </c>
      <c r="BH13" s="38">
        <f>F13*AO13</f>
        <v>0</v>
      </c>
      <c r="BI13" s="38">
        <f>F13*AP13</f>
        <v>0</v>
      </c>
      <c r="BJ13" s="38">
        <f>F13*G13</f>
        <v>0</v>
      </c>
    </row>
    <row r="14" spans="1:47" ht="12.75">
      <c r="A14" s="40"/>
      <c r="B14" s="41"/>
      <c r="C14" s="41" t="s">
        <v>56</v>
      </c>
      <c r="D14" s="41" t="s">
        <v>57</v>
      </c>
      <c r="E14" s="40" t="s">
        <v>4</v>
      </c>
      <c r="F14" s="40" t="s">
        <v>4</v>
      </c>
      <c r="G14" s="40"/>
      <c r="H14" s="37">
        <f>SUM(H15:H18)</f>
        <v>0</v>
      </c>
      <c r="I14" s="37">
        <f>SUM(I15:I18)</f>
        <v>0</v>
      </c>
      <c r="J14" s="37">
        <f>SUM(J15:J18)</f>
        <v>0</v>
      </c>
      <c r="K14" s="32"/>
      <c r="L14" s="37">
        <f>SUM(L15:L18)</f>
        <v>0</v>
      </c>
      <c r="M14" s="32"/>
      <c r="AI14" s="32"/>
      <c r="AS14" s="37">
        <f>SUM(AJ15:AJ18)</f>
        <v>0</v>
      </c>
      <c r="AT14" s="37">
        <f>SUM(AK15:AK18)</f>
        <v>0</v>
      </c>
      <c r="AU14" s="37">
        <f>SUM(AL15:AL18)</f>
        <v>0</v>
      </c>
    </row>
    <row r="15" spans="1:62" ht="12.75">
      <c r="A15" s="11" t="s">
        <v>58</v>
      </c>
      <c r="B15" s="11"/>
      <c r="C15" s="11" t="s">
        <v>59</v>
      </c>
      <c r="D15" s="11" t="s">
        <v>60</v>
      </c>
      <c r="E15" s="11" t="s">
        <v>61</v>
      </c>
      <c r="F15" s="38">
        <v>15</v>
      </c>
      <c r="G15" s="38"/>
      <c r="H15" s="38">
        <f>F15*AO15</f>
        <v>0</v>
      </c>
      <c r="I15" s="38">
        <f>F15*AP15</f>
        <v>0</v>
      </c>
      <c r="J15" s="38">
        <f>F15*G15</f>
        <v>0</v>
      </c>
      <c r="K15" s="38">
        <v>0</v>
      </c>
      <c r="L15" s="38">
        <f>F15*K15</f>
        <v>0</v>
      </c>
      <c r="M15" s="39"/>
      <c r="Z15" s="38">
        <f>IF(AQ15="5",BJ15,0)</f>
        <v>0</v>
      </c>
      <c r="AB15" s="38">
        <f>IF(AQ15="1",BH15,0)</f>
        <v>0</v>
      </c>
      <c r="AC15" s="38">
        <f>IF(AQ15="1",BI15,0)</f>
        <v>0</v>
      </c>
      <c r="AD15" s="38">
        <f>IF(AQ15="7",BH15,0)</f>
        <v>0</v>
      </c>
      <c r="AE15" s="38">
        <f>IF(AQ15="7",BI15,0)</f>
        <v>0</v>
      </c>
      <c r="AF15" s="38">
        <f>IF(AQ15="2",BH15,0)</f>
        <v>0</v>
      </c>
      <c r="AG15" s="38">
        <f>IF(AQ15="2",BI15,0)</f>
        <v>0</v>
      </c>
      <c r="AH15" s="38">
        <f>IF(AQ15="0",BJ15,0)</f>
        <v>0</v>
      </c>
      <c r="AI15" s="32"/>
      <c r="AJ15" s="38">
        <f>IF(AN15=0,J15,0)</f>
        <v>0</v>
      </c>
      <c r="AK15" s="38">
        <f>IF(AN15=15,J15,0)</f>
        <v>0</v>
      </c>
      <c r="AL15" s="38">
        <f>IF(AN15=21,J15,0)</f>
        <v>0</v>
      </c>
      <c r="AN15" s="38">
        <v>21</v>
      </c>
      <c r="AO15" s="38">
        <f>G15*0</f>
        <v>0</v>
      </c>
      <c r="AP15" s="38">
        <f>G15*(1-0)</f>
        <v>0</v>
      </c>
      <c r="AQ15" s="39" t="s">
        <v>49</v>
      </c>
      <c r="AV15" s="38">
        <f>AW15+AX15</f>
        <v>0</v>
      </c>
      <c r="AW15" s="38">
        <f>F15*AO15</f>
        <v>0</v>
      </c>
      <c r="AX15" s="38">
        <f>F15*AP15</f>
        <v>0</v>
      </c>
      <c r="AY15" s="39" t="s">
        <v>62</v>
      </c>
      <c r="AZ15" s="39" t="s">
        <v>54</v>
      </c>
      <c r="BA15" s="32" t="s">
        <v>55</v>
      </c>
      <c r="BC15" s="38">
        <f>AW15+AX15</f>
        <v>0</v>
      </c>
      <c r="BD15" s="38">
        <f>G15/(100-BE15)*100</f>
        <v>0</v>
      </c>
      <c r="BE15" s="38">
        <v>0</v>
      </c>
      <c r="BF15" s="38">
        <f>L15</f>
        <v>0</v>
      </c>
      <c r="BH15" s="38">
        <f>F15*AO15</f>
        <v>0</v>
      </c>
      <c r="BI15" s="38">
        <f>F15*AP15</f>
        <v>0</v>
      </c>
      <c r="BJ15" s="38">
        <f>F15*G15</f>
        <v>0</v>
      </c>
    </row>
    <row r="16" spans="1:62" ht="12.75">
      <c r="A16" s="11" t="s">
        <v>63</v>
      </c>
      <c r="B16" s="11"/>
      <c r="C16" s="11" t="s">
        <v>64</v>
      </c>
      <c r="D16" s="11" t="s">
        <v>65</v>
      </c>
      <c r="E16" s="11" t="s">
        <v>61</v>
      </c>
      <c r="F16" s="38">
        <v>15</v>
      </c>
      <c r="G16" s="38"/>
      <c r="H16" s="38">
        <f>F16*AO16</f>
        <v>0</v>
      </c>
      <c r="I16" s="38">
        <f>F16*AP16</f>
        <v>0</v>
      </c>
      <c r="J16" s="38">
        <f>F16*G16</f>
        <v>0</v>
      </c>
      <c r="K16" s="38">
        <v>0</v>
      </c>
      <c r="L16" s="38">
        <f>F16*K16</f>
        <v>0</v>
      </c>
      <c r="M16" s="39"/>
      <c r="Z16" s="38">
        <f>IF(AQ16="5",BJ16,0)</f>
        <v>0</v>
      </c>
      <c r="AB16" s="38">
        <f>IF(AQ16="1",BH16,0)</f>
        <v>0</v>
      </c>
      <c r="AC16" s="38">
        <f>IF(AQ16="1",BI16,0)</f>
        <v>0</v>
      </c>
      <c r="AD16" s="38">
        <f>IF(AQ16="7",BH16,0)</f>
        <v>0</v>
      </c>
      <c r="AE16" s="38">
        <f>IF(AQ16="7",BI16,0)</f>
        <v>0</v>
      </c>
      <c r="AF16" s="38">
        <f>IF(AQ16="2",BH16,0)</f>
        <v>0</v>
      </c>
      <c r="AG16" s="38">
        <f>IF(AQ16="2",BI16,0)</f>
        <v>0</v>
      </c>
      <c r="AH16" s="38">
        <f>IF(AQ16="0",BJ16,0)</f>
        <v>0</v>
      </c>
      <c r="AI16" s="32"/>
      <c r="AJ16" s="38">
        <f>IF(AN16=0,J16,0)</f>
        <v>0</v>
      </c>
      <c r="AK16" s="38">
        <f>IF(AN16=15,J16,0)</f>
        <v>0</v>
      </c>
      <c r="AL16" s="38">
        <f>IF(AN16=21,J16,0)</f>
        <v>0</v>
      </c>
      <c r="AN16" s="38">
        <v>21</v>
      </c>
      <c r="AO16" s="38">
        <f>G16*0</f>
        <v>0</v>
      </c>
      <c r="AP16" s="38">
        <f>G16*(1-0)</f>
        <v>0</v>
      </c>
      <c r="AQ16" s="39" t="s">
        <v>49</v>
      </c>
      <c r="AV16" s="38">
        <f>AW16+AX16</f>
        <v>0</v>
      </c>
      <c r="AW16" s="38">
        <f>F16*AO16</f>
        <v>0</v>
      </c>
      <c r="AX16" s="38">
        <f>F16*AP16</f>
        <v>0</v>
      </c>
      <c r="AY16" s="39" t="s">
        <v>62</v>
      </c>
      <c r="AZ16" s="39" t="s">
        <v>54</v>
      </c>
      <c r="BA16" s="32" t="s">
        <v>55</v>
      </c>
      <c r="BC16" s="38">
        <f>AW16+AX16</f>
        <v>0</v>
      </c>
      <c r="BD16" s="38">
        <f>G16/(100-BE16)*100</f>
        <v>0</v>
      </c>
      <c r="BE16" s="38">
        <v>0</v>
      </c>
      <c r="BF16" s="38">
        <f>L16</f>
        <v>0</v>
      </c>
      <c r="BH16" s="38">
        <f>F16*AO16</f>
        <v>0</v>
      </c>
      <c r="BI16" s="38">
        <f>F16*AP16</f>
        <v>0</v>
      </c>
      <c r="BJ16" s="38">
        <f>F16*G16</f>
        <v>0</v>
      </c>
    </row>
    <row r="17" spans="1:62" ht="12.75">
      <c r="A17" s="11" t="s">
        <v>66</v>
      </c>
      <c r="B17" s="11"/>
      <c r="C17" s="11" t="s">
        <v>67</v>
      </c>
      <c r="D17" s="11" t="s">
        <v>68</v>
      </c>
      <c r="E17" s="11" t="s">
        <v>61</v>
      </c>
      <c r="F17" s="38">
        <v>13.2</v>
      </c>
      <c r="G17" s="38"/>
      <c r="H17" s="38">
        <f>F17*AO17</f>
        <v>0</v>
      </c>
      <c r="I17" s="38">
        <f>F17*AP17</f>
        <v>0</v>
      </c>
      <c r="J17" s="38">
        <f>F17*G17</f>
        <v>0</v>
      </c>
      <c r="K17" s="38">
        <v>0</v>
      </c>
      <c r="L17" s="38">
        <f>F17*K17</f>
        <v>0</v>
      </c>
      <c r="M17" s="39"/>
      <c r="Z17" s="38">
        <f>IF(AQ17="5",BJ17,0)</f>
        <v>0</v>
      </c>
      <c r="AB17" s="38">
        <f>IF(AQ17="1",BH17,0)</f>
        <v>0</v>
      </c>
      <c r="AC17" s="38">
        <f>IF(AQ17="1",BI17,0)</f>
        <v>0</v>
      </c>
      <c r="AD17" s="38">
        <f>IF(AQ17="7",BH17,0)</f>
        <v>0</v>
      </c>
      <c r="AE17" s="38">
        <f>IF(AQ17="7",BI17,0)</f>
        <v>0</v>
      </c>
      <c r="AF17" s="38">
        <f>IF(AQ17="2",BH17,0)</f>
        <v>0</v>
      </c>
      <c r="AG17" s="38">
        <f>IF(AQ17="2",BI17,0)</f>
        <v>0</v>
      </c>
      <c r="AH17" s="38">
        <f>IF(AQ17="0",BJ17,0)</f>
        <v>0</v>
      </c>
      <c r="AI17" s="32"/>
      <c r="AJ17" s="38">
        <f>IF(AN17=0,J17,0)</f>
        <v>0</v>
      </c>
      <c r="AK17" s="38">
        <f>IF(AN17=15,J17,0)</f>
        <v>0</v>
      </c>
      <c r="AL17" s="38">
        <f>IF(AN17=21,J17,0)</f>
        <v>0</v>
      </c>
      <c r="AN17" s="38">
        <v>21</v>
      </c>
      <c r="AO17" s="38">
        <f>G17*0</f>
        <v>0</v>
      </c>
      <c r="AP17" s="38">
        <f>G17*(1-0)</f>
        <v>0</v>
      </c>
      <c r="AQ17" s="39" t="s">
        <v>49</v>
      </c>
      <c r="AV17" s="38">
        <f>AW17+AX17</f>
        <v>0</v>
      </c>
      <c r="AW17" s="38">
        <f>F17*AO17</f>
        <v>0</v>
      </c>
      <c r="AX17" s="38">
        <f>F17*AP17</f>
        <v>0</v>
      </c>
      <c r="AY17" s="39" t="s">
        <v>62</v>
      </c>
      <c r="AZ17" s="39" t="s">
        <v>54</v>
      </c>
      <c r="BA17" s="32" t="s">
        <v>55</v>
      </c>
      <c r="BC17" s="38">
        <f>AW17+AX17</f>
        <v>0</v>
      </c>
      <c r="BD17" s="38">
        <f>G17/(100-BE17)*100</f>
        <v>0</v>
      </c>
      <c r="BE17" s="38">
        <v>0</v>
      </c>
      <c r="BF17" s="38">
        <f>L17</f>
        <v>0</v>
      </c>
      <c r="BH17" s="38">
        <f>F17*AO17</f>
        <v>0</v>
      </c>
      <c r="BI17" s="38">
        <f>F17*AP17</f>
        <v>0</v>
      </c>
      <c r="BJ17" s="38">
        <f>F17*G17</f>
        <v>0</v>
      </c>
    </row>
    <row r="18" spans="1:62" ht="12.75">
      <c r="A18" s="11" t="s">
        <v>69</v>
      </c>
      <c r="B18" s="11"/>
      <c r="C18" s="11" t="s">
        <v>70</v>
      </c>
      <c r="D18" s="11" t="s">
        <v>71</v>
      </c>
      <c r="E18" s="11" t="s">
        <v>61</v>
      </c>
      <c r="F18" s="38">
        <v>13.2</v>
      </c>
      <c r="G18" s="38"/>
      <c r="H18" s="38">
        <f>F18*AO18</f>
        <v>0</v>
      </c>
      <c r="I18" s="38">
        <f>F18*AP18</f>
        <v>0</v>
      </c>
      <c r="J18" s="38">
        <f>F18*G18</f>
        <v>0</v>
      </c>
      <c r="K18" s="38">
        <v>0</v>
      </c>
      <c r="L18" s="38">
        <f>F18*K18</f>
        <v>0</v>
      </c>
      <c r="M18" s="39"/>
      <c r="Z18" s="38">
        <f>IF(AQ18="5",BJ18,0)</f>
        <v>0</v>
      </c>
      <c r="AB18" s="38">
        <f>IF(AQ18="1",BH18,0)</f>
        <v>0</v>
      </c>
      <c r="AC18" s="38">
        <f>IF(AQ18="1",BI18,0)</f>
        <v>0</v>
      </c>
      <c r="AD18" s="38">
        <f>IF(AQ18="7",BH18,0)</f>
        <v>0</v>
      </c>
      <c r="AE18" s="38">
        <f>IF(AQ18="7",BI18,0)</f>
        <v>0</v>
      </c>
      <c r="AF18" s="38">
        <f>IF(AQ18="2",BH18,0)</f>
        <v>0</v>
      </c>
      <c r="AG18" s="38">
        <f>IF(AQ18="2",BI18,0)</f>
        <v>0</v>
      </c>
      <c r="AH18" s="38">
        <f>IF(AQ18="0",BJ18,0)</f>
        <v>0</v>
      </c>
      <c r="AI18" s="32"/>
      <c r="AJ18" s="38">
        <f>IF(AN18=0,J18,0)</f>
        <v>0</v>
      </c>
      <c r="AK18" s="38">
        <f>IF(AN18=15,J18,0)</f>
        <v>0</v>
      </c>
      <c r="AL18" s="38">
        <f>IF(AN18=21,J18,0)</f>
        <v>0</v>
      </c>
      <c r="AN18" s="38">
        <v>21</v>
      </c>
      <c r="AO18" s="38">
        <f>G18*0</f>
        <v>0</v>
      </c>
      <c r="AP18" s="38">
        <f>G18*(1-0)</f>
        <v>0</v>
      </c>
      <c r="AQ18" s="39" t="s">
        <v>49</v>
      </c>
      <c r="AV18" s="38">
        <f>AW18+AX18</f>
        <v>0</v>
      </c>
      <c r="AW18" s="38">
        <f>F18*AO18</f>
        <v>0</v>
      </c>
      <c r="AX18" s="38">
        <f>F18*AP18</f>
        <v>0</v>
      </c>
      <c r="AY18" s="39" t="s">
        <v>62</v>
      </c>
      <c r="AZ18" s="39" t="s">
        <v>54</v>
      </c>
      <c r="BA18" s="32" t="s">
        <v>55</v>
      </c>
      <c r="BC18" s="38">
        <f>AW18+AX18</f>
        <v>0</v>
      </c>
      <c r="BD18" s="38">
        <f>G18/(100-BE18)*100</f>
        <v>0</v>
      </c>
      <c r="BE18" s="38">
        <v>0</v>
      </c>
      <c r="BF18" s="38">
        <f>L18</f>
        <v>0</v>
      </c>
      <c r="BH18" s="38">
        <f>F18*AO18</f>
        <v>0</v>
      </c>
      <c r="BI18" s="38">
        <f>F18*AP18</f>
        <v>0</v>
      </c>
      <c r="BJ18" s="38">
        <f>F18*G18</f>
        <v>0</v>
      </c>
    </row>
    <row r="19" spans="1:47" ht="12.75">
      <c r="A19" s="40"/>
      <c r="B19" s="41"/>
      <c r="C19" s="41" t="s">
        <v>72</v>
      </c>
      <c r="D19" s="41" t="s">
        <v>73</v>
      </c>
      <c r="E19" s="40" t="s">
        <v>4</v>
      </c>
      <c r="F19" s="40" t="s">
        <v>4</v>
      </c>
      <c r="G19" s="40"/>
      <c r="H19" s="37">
        <f>SUM(H20:H20)</f>
        <v>0</v>
      </c>
      <c r="I19" s="37">
        <f>SUM(I20:I20)</f>
        <v>0</v>
      </c>
      <c r="J19" s="37">
        <f>SUM(J20:J20)</f>
        <v>0</v>
      </c>
      <c r="K19" s="32"/>
      <c r="L19" s="37">
        <f>SUM(L20:L20)</f>
        <v>0</v>
      </c>
      <c r="M19" s="32"/>
      <c r="AI19" s="32"/>
      <c r="AS19" s="37">
        <f>SUM(AJ20:AJ20)</f>
        <v>0</v>
      </c>
      <c r="AT19" s="37">
        <f>SUM(AK20:AK20)</f>
        <v>0</v>
      </c>
      <c r="AU19" s="37">
        <f>SUM(AL20:AL20)</f>
        <v>0</v>
      </c>
    </row>
    <row r="20" spans="1:62" ht="12.75">
      <c r="A20" s="11" t="s">
        <v>74</v>
      </c>
      <c r="B20" s="11"/>
      <c r="C20" s="11" t="s">
        <v>75</v>
      </c>
      <c r="D20" s="11" t="s">
        <v>76</v>
      </c>
      <c r="E20" s="11" t="s">
        <v>61</v>
      </c>
      <c r="F20" s="38">
        <v>43.1</v>
      </c>
      <c r="G20" s="38"/>
      <c r="H20" s="38">
        <f>F20*AO20</f>
        <v>0</v>
      </c>
      <c r="I20" s="38">
        <f>F20*AP20</f>
        <v>0</v>
      </c>
      <c r="J20" s="38">
        <f>F20*G20</f>
        <v>0</v>
      </c>
      <c r="K20" s="38">
        <v>0</v>
      </c>
      <c r="L20" s="38">
        <f>F20*K20</f>
        <v>0</v>
      </c>
      <c r="M20" s="39"/>
      <c r="Z20" s="38">
        <f>IF(AQ20="5",BJ20,0)</f>
        <v>0</v>
      </c>
      <c r="AB20" s="38">
        <f>IF(AQ20="1",BH20,0)</f>
        <v>0</v>
      </c>
      <c r="AC20" s="38">
        <f>IF(AQ20="1",BI20,0)</f>
        <v>0</v>
      </c>
      <c r="AD20" s="38">
        <f>IF(AQ20="7",BH20,0)</f>
        <v>0</v>
      </c>
      <c r="AE20" s="38">
        <f>IF(AQ20="7",BI20,0)</f>
        <v>0</v>
      </c>
      <c r="AF20" s="38">
        <f>IF(AQ20="2",BH20,0)</f>
        <v>0</v>
      </c>
      <c r="AG20" s="38">
        <f>IF(AQ20="2",BI20,0)</f>
        <v>0</v>
      </c>
      <c r="AH20" s="38">
        <f>IF(AQ20="0",BJ20,0)</f>
        <v>0</v>
      </c>
      <c r="AI20" s="32"/>
      <c r="AJ20" s="38">
        <f>IF(AN20=0,J20,0)</f>
        <v>0</v>
      </c>
      <c r="AK20" s="38">
        <f>IF(AN20=15,J20,0)</f>
        <v>0</v>
      </c>
      <c r="AL20" s="38">
        <f>IF(AN20=21,J20,0)</f>
        <v>0</v>
      </c>
      <c r="AN20" s="38">
        <v>21</v>
      </c>
      <c r="AO20" s="38">
        <f>G20*0</f>
        <v>0</v>
      </c>
      <c r="AP20" s="38">
        <f>G20*(1-0)</f>
        <v>0</v>
      </c>
      <c r="AQ20" s="39" t="s">
        <v>49</v>
      </c>
      <c r="AV20" s="38">
        <f>AW20+AX20</f>
        <v>0</v>
      </c>
      <c r="AW20" s="38">
        <f>F20*AO20</f>
        <v>0</v>
      </c>
      <c r="AX20" s="38">
        <f>F20*AP20</f>
        <v>0</v>
      </c>
      <c r="AY20" s="39" t="s">
        <v>77</v>
      </c>
      <c r="AZ20" s="39" t="s">
        <v>54</v>
      </c>
      <c r="BA20" s="32" t="s">
        <v>55</v>
      </c>
      <c r="BC20" s="38">
        <f>AW20+AX20</f>
        <v>0</v>
      </c>
      <c r="BD20" s="38">
        <f>G20/(100-BE20)*100</f>
        <v>0</v>
      </c>
      <c r="BE20" s="38">
        <v>0</v>
      </c>
      <c r="BF20" s="38">
        <f>L20</f>
        <v>0</v>
      </c>
      <c r="BH20" s="38">
        <f>F20*AO20</f>
        <v>0</v>
      </c>
      <c r="BI20" s="38">
        <f>F20*AP20</f>
        <v>0</v>
      </c>
      <c r="BJ20" s="38">
        <f>F20*G20</f>
        <v>0</v>
      </c>
    </row>
    <row r="21" spans="1:47" ht="12.75">
      <c r="A21" s="40"/>
      <c r="B21" s="41"/>
      <c r="C21" s="41" t="s">
        <v>78</v>
      </c>
      <c r="D21" s="41" t="s">
        <v>79</v>
      </c>
      <c r="E21" s="40" t="s">
        <v>4</v>
      </c>
      <c r="F21" s="40" t="s">
        <v>4</v>
      </c>
      <c r="G21" s="40"/>
      <c r="H21" s="37">
        <f>SUM(H22:H23)</f>
        <v>0</v>
      </c>
      <c r="I21" s="37">
        <f>SUM(I22:I23)</f>
        <v>0</v>
      </c>
      <c r="J21" s="37">
        <f>SUM(J22:J23)</f>
        <v>0</v>
      </c>
      <c r="K21" s="32"/>
      <c r="L21" s="37">
        <f>SUM(L22:L23)</f>
        <v>0</v>
      </c>
      <c r="M21" s="32"/>
      <c r="AI21" s="32"/>
      <c r="AS21" s="37">
        <f>SUM(AJ22:AJ23)</f>
        <v>0</v>
      </c>
      <c r="AT21" s="37">
        <f>SUM(AK22:AK23)</f>
        <v>0</v>
      </c>
      <c r="AU21" s="37">
        <f>SUM(AL22:AL23)</f>
        <v>0</v>
      </c>
    </row>
    <row r="22" spans="1:62" ht="12.75">
      <c r="A22" s="11" t="s">
        <v>80</v>
      </c>
      <c r="B22" s="11"/>
      <c r="C22" s="11" t="s">
        <v>81</v>
      </c>
      <c r="D22" s="11" t="s">
        <v>82</v>
      </c>
      <c r="E22" s="11" t="s">
        <v>83</v>
      </c>
      <c r="F22" s="38">
        <v>36</v>
      </c>
      <c r="G22" s="38"/>
      <c r="H22" s="38">
        <f>F22*AO22</f>
        <v>0</v>
      </c>
      <c r="I22" s="38">
        <f>F22*AP22</f>
        <v>0</v>
      </c>
      <c r="J22" s="38">
        <f>F22*G22</f>
        <v>0</v>
      </c>
      <c r="K22" s="38">
        <v>0</v>
      </c>
      <c r="L22" s="38">
        <f>F22*K22</f>
        <v>0</v>
      </c>
      <c r="M22" s="39"/>
      <c r="Z22" s="38">
        <f>IF(AQ22="5",BJ22,0)</f>
        <v>0</v>
      </c>
      <c r="AB22" s="38">
        <f>IF(AQ22="1",BH22,0)</f>
        <v>0</v>
      </c>
      <c r="AC22" s="38">
        <f>IF(AQ22="1",BI22,0)</f>
        <v>0</v>
      </c>
      <c r="AD22" s="38">
        <f>IF(AQ22="7",BH22,0)</f>
        <v>0</v>
      </c>
      <c r="AE22" s="38">
        <f>IF(AQ22="7",BI22,0)</f>
        <v>0</v>
      </c>
      <c r="AF22" s="38">
        <f>IF(AQ22="2",BH22,0)</f>
        <v>0</v>
      </c>
      <c r="AG22" s="38">
        <f>IF(AQ22="2",BI22,0)</f>
        <v>0</v>
      </c>
      <c r="AH22" s="38">
        <f>IF(AQ22="0",BJ22,0)</f>
        <v>0</v>
      </c>
      <c r="AI22" s="32"/>
      <c r="AJ22" s="38">
        <f>IF(AN22=0,J22,0)</f>
        <v>0</v>
      </c>
      <c r="AK22" s="38">
        <f>IF(AN22=15,J22,0)</f>
        <v>0</v>
      </c>
      <c r="AL22" s="38">
        <f>IF(AN22=21,J22,0)</f>
        <v>0</v>
      </c>
      <c r="AN22" s="38">
        <v>21</v>
      </c>
      <c r="AO22" s="38">
        <f>G22*0</f>
        <v>0</v>
      </c>
      <c r="AP22" s="38">
        <f>G22*(1-0)</f>
        <v>0</v>
      </c>
      <c r="AQ22" s="39" t="s">
        <v>49</v>
      </c>
      <c r="AV22" s="38">
        <f>AW22+AX22</f>
        <v>0</v>
      </c>
      <c r="AW22" s="38">
        <f>F22*AO22</f>
        <v>0</v>
      </c>
      <c r="AX22" s="38">
        <f>F22*AP22</f>
        <v>0</v>
      </c>
      <c r="AY22" s="39" t="s">
        <v>84</v>
      </c>
      <c r="AZ22" s="39" t="s">
        <v>54</v>
      </c>
      <c r="BA22" s="32" t="s">
        <v>55</v>
      </c>
      <c r="BC22" s="38">
        <f>AW22+AX22</f>
        <v>0</v>
      </c>
      <c r="BD22" s="38">
        <f>G22/(100-BE22)*100</f>
        <v>0</v>
      </c>
      <c r="BE22" s="38">
        <v>0</v>
      </c>
      <c r="BF22" s="38">
        <f>L22</f>
        <v>0</v>
      </c>
      <c r="BH22" s="38">
        <f>F22*AO22</f>
        <v>0</v>
      </c>
      <c r="BI22" s="38">
        <f>F22*AP22</f>
        <v>0</v>
      </c>
      <c r="BJ22" s="38">
        <f>F22*G22</f>
        <v>0</v>
      </c>
    </row>
    <row r="23" spans="1:62" ht="12.75">
      <c r="A23" s="11" t="s">
        <v>85</v>
      </c>
      <c r="B23" s="11"/>
      <c r="C23" s="11" t="s">
        <v>81</v>
      </c>
      <c r="D23" s="11" t="s">
        <v>86</v>
      </c>
      <c r="E23" s="11" t="s">
        <v>83</v>
      </c>
      <c r="F23" s="38">
        <v>7.1</v>
      </c>
      <c r="G23" s="38"/>
      <c r="H23" s="38">
        <f>F23*AO23</f>
        <v>0</v>
      </c>
      <c r="I23" s="38">
        <f>F23*AP23</f>
        <v>0</v>
      </c>
      <c r="J23" s="38">
        <f>F23*G23</f>
        <v>0</v>
      </c>
      <c r="K23" s="38">
        <v>0</v>
      </c>
      <c r="L23" s="38">
        <f>F23*K23</f>
        <v>0</v>
      </c>
      <c r="M23" s="39"/>
      <c r="Z23" s="38">
        <f>IF(AQ23="5",BJ23,0)</f>
        <v>0</v>
      </c>
      <c r="AB23" s="38">
        <f>IF(AQ23="1",BH23,0)</f>
        <v>0</v>
      </c>
      <c r="AC23" s="38">
        <f>IF(AQ23="1",BI23,0)</f>
        <v>0</v>
      </c>
      <c r="AD23" s="38">
        <f>IF(AQ23="7",BH23,0)</f>
        <v>0</v>
      </c>
      <c r="AE23" s="38">
        <f>IF(AQ23="7",BI23,0)</f>
        <v>0</v>
      </c>
      <c r="AF23" s="38">
        <f>IF(AQ23="2",BH23,0)</f>
        <v>0</v>
      </c>
      <c r="AG23" s="38">
        <f>IF(AQ23="2",BI23,0)</f>
        <v>0</v>
      </c>
      <c r="AH23" s="38">
        <f>IF(AQ23="0",BJ23,0)</f>
        <v>0</v>
      </c>
      <c r="AI23" s="32"/>
      <c r="AJ23" s="38">
        <f>IF(AN23=0,J23,0)</f>
        <v>0</v>
      </c>
      <c r="AK23" s="38">
        <f>IF(AN23=15,J23,0)</f>
        <v>0</v>
      </c>
      <c r="AL23" s="38">
        <f>IF(AN23=21,J23,0)</f>
        <v>0</v>
      </c>
      <c r="AN23" s="38">
        <v>21</v>
      </c>
      <c r="AO23" s="38">
        <f>G23*0</f>
        <v>0</v>
      </c>
      <c r="AP23" s="38">
        <f>G23*(1-0)</f>
        <v>0</v>
      </c>
      <c r="AQ23" s="39" t="s">
        <v>49</v>
      </c>
      <c r="AV23" s="38">
        <f>AW23+AX23</f>
        <v>0</v>
      </c>
      <c r="AW23" s="38">
        <f>F23*AO23</f>
        <v>0</v>
      </c>
      <c r="AX23" s="38">
        <f>F23*AP23</f>
        <v>0</v>
      </c>
      <c r="AY23" s="39" t="s">
        <v>84</v>
      </c>
      <c r="AZ23" s="39" t="s">
        <v>54</v>
      </c>
      <c r="BA23" s="32" t="s">
        <v>55</v>
      </c>
      <c r="BC23" s="38">
        <f>AW23+AX23</f>
        <v>0</v>
      </c>
      <c r="BD23" s="38">
        <f>G23/(100-BE23)*100</f>
        <v>0</v>
      </c>
      <c r="BE23" s="38">
        <v>0</v>
      </c>
      <c r="BF23" s="38">
        <f>L23</f>
        <v>0</v>
      </c>
      <c r="BH23" s="38">
        <f>F23*AO23</f>
        <v>0</v>
      </c>
      <c r="BI23" s="38">
        <f>F23*AP23</f>
        <v>0</v>
      </c>
      <c r="BJ23" s="38">
        <f>F23*G23</f>
        <v>0</v>
      </c>
    </row>
    <row r="24" spans="1:47" ht="12.75">
      <c r="A24" s="40"/>
      <c r="B24" s="41"/>
      <c r="C24" s="41" t="s">
        <v>87</v>
      </c>
      <c r="D24" s="41" t="s">
        <v>88</v>
      </c>
      <c r="E24" s="40" t="s">
        <v>4</v>
      </c>
      <c r="F24" s="40" t="s">
        <v>4</v>
      </c>
      <c r="G24" s="40"/>
      <c r="H24" s="37">
        <f>SUM(H25:H29)</f>
        <v>0</v>
      </c>
      <c r="I24" s="37">
        <f>SUM(I25:I29)</f>
        <v>0</v>
      </c>
      <c r="J24" s="37">
        <f>SUM(J25:J29)</f>
        <v>0</v>
      </c>
      <c r="K24" s="32"/>
      <c r="L24" s="37">
        <f>SUM(L25:L29)</f>
        <v>80.962049</v>
      </c>
      <c r="M24" s="32"/>
      <c r="AI24" s="32"/>
      <c r="AS24" s="37">
        <f>SUM(AJ25:AJ29)</f>
        <v>0</v>
      </c>
      <c r="AT24" s="37">
        <f>SUM(AK25:AK29)</f>
        <v>0</v>
      </c>
      <c r="AU24" s="37">
        <f>SUM(AL25:AL29)</f>
        <v>0</v>
      </c>
    </row>
    <row r="25" spans="1:62" ht="12.75">
      <c r="A25" s="11" t="s">
        <v>89</v>
      </c>
      <c r="B25" s="11"/>
      <c r="C25" s="11" t="s">
        <v>90</v>
      </c>
      <c r="D25" s="11" t="s">
        <v>91</v>
      </c>
      <c r="E25" s="11" t="s">
        <v>61</v>
      </c>
      <c r="F25" s="38">
        <v>11</v>
      </c>
      <c r="G25" s="38"/>
      <c r="H25" s="38">
        <f>F25*AO25</f>
        <v>0</v>
      </c>
      <c r="I25" s="38">
        <f>F25*AP25</f>
        <v>0</v>
      </c>
      <c r="J25" s="38">
        <f>F25*G25</f>
        <v>0</v>
      </c>
      <c r="K25" s="38">
        <v>2.525</v>
      </c>
      <c r="L25" s="38">
        <f>F25*K25</f>
        <v>27.775</v>
      </c>
      <c r="M25" s="39"/>
      <c r="Z25" s="38">
        <f>IF(AQ25="5",BJ25,0)</f>
        <v>0</v>
      </c>
      <c r="AB25" s="38">
        <f>IF(AQ25="1",BH25,0)</f>
        <v>0</v>
      </c>
      <c r="AC25" s="38">
        <f>IF(AQ25="1",BI25,0)</f>
        <v>0</v>
      </c>
      <c r="AD25" s="38">
        <f>IF(AQ25="7",BH25,0)</f>
        <v>0</v>
      </c>
      <c r="AE25" s="38">
        <f>IF(AQ25="7",BI25,0)</f>
        <v>0</v>
      </c>
      <c r="AF25" s="38">
        <f>IF(AQ25="2",BH25,0)</f>
        <v>0</v>
      </c>
      <c r="AG25" s="38">
        <f>IF(AQ25="2",BI25,0)</f>
        <v>0</v>
      </c>
      <c r="AH25" s="38">
        <f>IF(AQ25="0",BJ25,0)</f>
        <v>0</v>
      </c>
      <c r="AI25" s="32"/>
      <c r="AJ25" s="38">
        <f>IF(AN25=0,J25,0)</f>
        <v>0</v>
      </c>
      <c r="AK25" s="38">
        <f>IF(AN25=15,J25,0)</f>
        <v>0</v>
      </c>
      <c r="AL25" s="38">
        <f>IF(AN25=21,J25,0)</f>
        <v>0</v>
      </c>
      <c r="AN25" s="38">
        <v>21</v>
      </c>
      <c r="AO25" s="38">
        <f>G25*0.888142857142857</f>
        <v>0</v>
      </c>
      <c r="AP25" s="38">
        <f>G25*(1-0.888142857142857)</f>
        <v>0</v>
      </c>
      <c r="AQ25" s="39" t="s">
        <v>49</v>
      </c>
      <c r="AV25" s="38">
        <f>AW25+AX25</f>
        <v>0</v>
      </c>
      <c r="AW25" s="38">
        <f>F25*AO25</f>
        <v>0</v>
      </c>
      <c r="AX25" s="38">
        <f>F25*AP25</f>
        <v>0</v>
      </c>
      <c r="AY25" s="39" t="s">
        <v>92</v>
      </c>
      <c r="AZ25" s="39" t="s">
        <v>93</v>
      </c>
      <c r="BA25" s="32" t="s">
        <v>55</v>
      </c>
      <c r="BC25" s="38">
        <f>AW25+AX25</f>
        <v>0</v>
      </c>
      <c r="BD25" s="38">
        <f>G25/(100-BE25)*100</f>
        <v>0</v>
      </c>
      <c r="BE25" s="38">
        <v>0</v>
      </c>
      <c r="BF25" s="38">
        <f>L25</f>
        <v>27.775</v>
      </c>
      <c r="BH25" s="38">
        <f>F25*AO25</f>
        <v>0</v>
      </c>
      <c r="BI25" s="38">
        <f>F25*AP25</f>
        <v>0</v>
      </c>
      <c r="BJ25" s="38">
        <f>F25*G25</f>
        <v>0</v>
      </c>
    </row>
    <row r="26" spans="1:62" ht="12.75">
      <c r="A26" s="11" t="s">
        <v>94</v>
      </c>
      <c r="B26" s="11"/>
      <c r="C26" s="11" t="s">
        <v>95</v>
      </c>
      <c r="D26" s="11" t="s">
        <v>96</v>
      </c>
      <c r="E26" s="11" t="s">
        <v>52</v>
      </c>
      <c r="F26" s="38">
        <v>78</v>
      </c>
      <c r="G26" s="38"/>
      <c r="H26" s="38">
        <f>F26*AO26</f>
        <v>0</v>
      </c>
      <c r="I26" s="38">
        <f>F26*AP26</f>
        <v>0</v>
      </c>
      <c r="J26" s="38">
        <f>F26*G26</f>
        <v>0</v>
      </c>
      <c r="K26" s="38">
        <v>0.0364</v>
      </c>
      <c r="L26" s="38">
        <f>F26*K26</f>
        <v>2.8392</v>
      </c>
      <c r="M26" s="39"/>
      <c r="Z26" s="38">
        <f>IF(AQ26="5",BJ26,0)</f>
        <v>0</v>
      </c>
      <c r="AB26" s="38">
        <f>IF(AQ26="1",BH26,0)</f>
        <v>0</v>
      </c>
      <c r="AC26" s="38">
        <f>IF(AQ26="1",BI26,0)</f>
        <v>0</v>
      </c>
      <c r="AD26" s="38">
        <f>IF(AQ26="7",BH26,0)</f>
        <v>0</v>
      </c>
      <c r="AE26" s="38">
        <f>IF(AQ26="7",BI26,0)</f>
        <v>0</v>
      </c>
      <c r="AF26" s="38">
        <f>IF(AQ26="2",BH26,0)</f>
        <v>0</v>
      </c>
      <c r="AG26" s="38">
        <f>IF(AQ26="2",BI26,0)</f>
        <v>0</v>
      </c>
      <c r="AH26" s="38">
        <f>IF(AQ26="0",BJ26,0)</f>
        <v>0</v>
      </c>
      <c r="AI26" s="32"/>
      <c r="AJ26" s="38">
        <f>IF(AN26=0,J26,0)</f>
        <v>0</v>
      </c>
      <c r="AK26" s="38">
        <f>IF(AN26=15,J26,0)</f>
        <v>0</v>
      </c>
      <c r="AL26" s="38">
        <f>IF(AN26=21,J26,0)</f>
        <v>0</v>
      </c>
      <c r="AN26" s="38">
        <v>21</v>
      </c>
      <c r="AO26" s="38">
        <f>G26*0.644609303081172</f>
        <v>0</v>
      </c>
      <c r="AP26" s="38">
        <f>G26*(1-0.644609303081172)</f>
        <v>0</v>
      </c>
      <c r="AQ26" s="39" t="s">
        <v>49</v>
      </c>
      <c r="AV26" s="38">
        <f>AW26+AX26</f>
        <v>0</v>
      </c>
      <c r="AW26" s="38">
        <f>F26*AO26</f>
        <v>0</v>
      </c>
      <c r="AX26" s="38">
        <f>F26*AP26</f>
        <v>0</v>
      </c>
      <c r="AY26" s="39" t="s">
        <v>92</v>
      </c>
      <c r="AZ26" s="39" t="s">
        <v>93</v>
      </c>
      <c r="BA26" s="32" t="s">
        <v>55</v>
      </c>
      <c r="BC26" s="38">
        <f>AW26+AX26</f>
        <v>0</v>
      </c>
      <c r="BD26" s="38">
        <f>G26/(100-BE26)*100</f>
        <v>0</v>
      </c>
      <c r="BE26" s="38">
        <v>0</v>
      </c>
      <c r="BF26" s="38">
        <f>L26</f>
        <v>2.8392</v>
      </c>
      <c r="BH26" s="38">
        <f>F26*AO26</f>
        <v>0</v>
      </c>
      <c r="BI26" s="38">
        <f>F26*AP26</f>
        <v>0</v>
      </c>
      <c r="BJ26" s="38">
        <f>F26*G26</f>
        <v>0</v>
      </c>
    </row>
    <row r="27" spans="1:62" ht="12.75">
      <c r="A27" s="11" t="s">
        <v>47</v>
      </c>
      <c r="B27" s="11"/>
      <c r="C27" s="11" t="s">
        <v>97</v>
      </c>
      <c r="D27" s="11" t="s">
        <v>98</v>
      </c>
      <c r="E27" s="11" t="s">
        <v>52</v>
      </c>
      <c r="F27" s="38">
        <v>78</v>
      </c>
      <c r="G27" s="38"/>
      <c r="H27" s="38">
        <f>F27*AO27</f>
        <v>0</v>
      </c>
      <c r="I27" s="38">
        <f>F27*AP27</f>
        <v>0</v>
      </c>
      <c r="J27" s="38">
        <f>F27*G27</f>
        <v>0</v>
      </c>
      <c r="K27" s="38">
        <v>0</v>
      </c>
      <c r="L27" s="38">
        <f>F27*K27</f>
        <v>0</v>
      </c>
      <c r="M27" s="39"/>
      <c r="Z27" s="38">
        <f>IF(AQ27="5",BJ27,0)</f>
        <v>0</v>
      </c>
      <c r="AB27" s="38">
        <f>IF(AQ27="1",BH27,0)</f>
        <v>0</v>
      </c>
      <c r="AC27" s="38">
        <f>IF(AQ27="1",BI27,0)</f>
        <v>0</v>
      </c>
      <c r="AD27" s="38">
        <f>IF(AQ27="7",BH27,0)</f>
        <v>0</v>
      </c>
      <c r="AE27" s="38">
        <f>IF(AQ27="7",BI27,0)</f>
        <v>0</v>
      </c>
      <c r="AF27" s="38">
        <f>IF(AQ27="2",BH27,0)</f>
        <v>0</v>
      </c>
      <c r="AG27" s="38">
        <f>IF(AQ27="2",BI27,0)</f>
        <v>0</v>
      </c>
      <c r="AH27" s="38">
        <f>IF(AQ27="0",BJ27,0)</f>
        <v>0</v>
      </c>
      <c r="AI27" s="32"/>
      <c r="AJ27" s="38">
        <f>IF(AN27=0,J27,0)</f>
        <v>0</v>
      </c>
      <c r="AK27" s="38">
        <f>IF(AN27=15,J27,0)</f>
        <v>0</v>
      </c>
      <c r="AL27" s="38">
        <f>IF(AN27=21,J27,0)</f>
        <v>0</v>
      </c>
      <c r="AN27" s="38">
        <v>21</v>
      </c>
      <c r="AO27" s="38">
        <f>G27*0</f>
        <v>0</v>
      </c>
      <c r="AP27" s="38">
        <f>G27*(1-0)</f>
        <v>0</v>
      </c>
      <c r="AQ27" s="39" t="s">
        <v>49</v>
      </c>
      <c r="AV27" s="38">
        <f>AW27+AX27</f>
        <v>0</v>
      </c>
      <c r="AW27" s="38">
        <f>F27*AO27</f>
        <v>0</v>
      </c>
      <c r="AX27" s="38">
        <f>F27*AP27</f>
        <v>0</v>
      </c>
      <c r="AY27" s="39" t="s">
        <v>92</v>
      </c>
      <c r="AZ27" s="39" t="s">
        <v>93</v>
      </c>
      <c r="BA27" s="32" t="s">
        <v>55</v>
      </c>
      <c r="BC27" s="38">
        <f>AW27+AX27</f>
        <v>0</v>
      </c>
      <c r="BD27" s="38">
        <f>G27/(100-BE27)*100</f>
        <v>0</v>
      </c>
      <c r="BE27" s="38">
        <v>0</v>
      </c>
      <c r="BF27" s="38">
        <f>L27</f>
        <v>0</v>
      </c>
      <c r="BH27" s="38">
        <f>F27*AO27</f>
        <v>0</v>
      </c>
      <c r="BI27" s="38">
        <f>F27*AP27</f>
        <v>0</v>
      </c>
      <c r="BJ27" s="38">
        <f>F27*G27</f>
        <v>0</v>
      </c>
    </row>
    <row r="28" spans="1:62" ht="12.75">
      <c r="A28" s="11" t="s">
        <v>99</v>
      </c>
      <c r="B28" s="11"/>
      <c r="C28" s="11" t="s">
        <v>100</v>
      </c>
      <c r="D28" s="11" t="s">
        <v>101</v>
      </c>
      <c r="E28" s="11" t="s">
        <v>61</v>
      </c>
      <c r="F28" s="38">
        <v>19.9</v>
      </c>
      <c r="G28" s="38"/>
      <c r="H28" s="38">
        <f>F28*AO28</f>
        <v>0</v>
      </c>
      <c r="I28" s="38">
        <f>F28*AP28</f>
        <v>0</v>
      </c>
      <c r="J28" s="38">
        <f>F28*G28</f>
        <v>0</v>
      </c>
      <c r="K28" s="38">
        <v>2.525</v>
      </c>
      <c r="L28" s="38">
        <f>F28*K28</f>
        <v>50.247499999999995</v>
      </c>
      <c r="M28" s="39"/>
      <c r="Z28" s="38">
        <f>IF(AQ28="5",BJ28,0)</f>
        <v>0</v>
      </c>
      <c r="AB28" s="38">
        <f>IF(AQ28="1",BH28,0)</f>
        <v>0</v>
      </c>
      <c r="AC28" s="38">
        <f>IF(AQ28="1",BI28,0)</f>
        <v>0</v>
      </c>
      <c r="AD28" s="38">
        <f>IF(AQ28="7",BH28,0)</f>
        <v>0</v>
      </c>
      <c r="AE28" s="38">
        <f>IF(AQ28="7",BI28,0)</f>
        <v>0</v>
      </c>
      <c r="AF28" s="38">
        <f>IF(AQ28="2",BH28,0)</f>
        <v>0</v>
      </c>
      <c r="AG28" s="38">
        <f>IF(AQ28="2",BI28,0)</f>
        <v>0</v>
      </c>
      <c r="AH28" s="38">
        <f>IF(AQ28="0",BJ28,0)</f>
        <v>0</v>
      </c>
      <c r="AI28" s="32"/>
      <c r="AJ28" s="38">
        <f>IF(AN28=0,J28,0)</f>
        <v>0</v>
      </c>
      <c r="AK28" s="38">
        <f>IF(AN28=15,J28,0)</f>
        <v>0</v>
      </c>
      <c r="AL28" s="38">
        <f>IF(AN28=21,J28,0)</f>
        <v>0</v>
      </c>
      <c r="AN28" s="38">
        <v>21</v>
      </c>
      <c r="AO28" s="38">
        <f>G28*0.881151785714286</f>
        <v>0</v>
      </c>
      <c r="AP28" s="38">
        <f>G28*(1-0.881151785714286)</f>
        <v>0</v>
      </c>
      <c r="AQ28" s="39" t="s">
        <v>49</v>
      </c>
      <c r="AV28" s="38">
        <f>AW28+AX28</f>
        <v>0</v>
      </c>
      <c r="AW28" s="38">
        <f>F28*AO28</f>
        <v>0</v>
      </c>
      <c r="AX28" s="38">
        <f>F28*AP28</f>
        <v>0</v>
      </c>
      <c r="AY28" s="39" t="s">
        <v>92</v>
      </c>
      <c r="AZ28" s="39" t="s">
        <v>93</v>
      </c>
      <c r="BA28" s="32" t="s">
        <v>55</v>
      </c>
      <c r="BC28" s="38">
        <f>AW28+AX28</f>
        <v>0</v>
      </c>
      <c r="BD28" s="38">
        <f>G28/(100-BE28)*100</f>
        <v>0</v>
      </c>
      <c r="BE28" s="38">
        <v>0</v>
      </c>
      <c r="BF28" s="38">
        <f>L28</f>
        <v>50.247499999999995</v>
      </c>
      <c r="BH28" s="38">
        <f>F28*AO28</f>
        <v>0</v>
      </c>
      <c r="BI28" s="38">
        <f>F28*AP28</f>
        <v>0</v>
      </c>
      <c r="BJ28" s="38">
        <f>F28*G28</f>
        <v>0</v>
      </c>
    </row>
    <row r="29" spans="1:62" ht="12.75">
      <c r="A29" s="11" t="s">
        <v>56</v>
      </c>
      <c r="B29" s="11"/>
      <c r="C29" s="11" t="s">
        <v>102</v>
      </c>
      <c r="D29" s="11" t="s">
        <v>103</v>
      </c>
      <c r="E29" s="11" t="s">
        <v>83</v>
      </c>
      <c r="F29" s="38">
        <v>0.1</v>
      </c>
      <c r="G29" s="38"/>
      <c r="H29" s="38">
        <f>F29*AO29</f>
        <v>0</v>
      </c>
      <c r="I29" s="38">
        <f>F29*AP29</f>
        <v>0</v>
      </c>
      <c r="J29" s="38">
        <f>F29*G29</f>
        <v>0</v>
      </c>
      <c r="K29" s="38">
        <v>1.00349</v>
      </c>
      <c r="L29" s="38">
        <f>F29*K29</f>
        <v>0.10034900000000001</v>
      </c>
      <c r="M29" s="39"/>
      <c r="Z29" s="38">
        <f>IF(AQ29="5",BJ29,0)</f>
        <v>0</v>
      </c>
      <c r="AB29" s="38">
        <f>IF(AQ29="1",BH29,0)</f>
        <v>0</v>
      </c>
      <c r="AC29" s="38">
        <f>IF(AQ29="1",BI29,0)</f>
        <v>0</v>
      </c>
      <c r="AD29" s="38">
        <f>IF(AQ29="7",BH29,0)</f>
        <v>0</v>
      </c>
      <c r="AE29" s="38">
        <f>IF(AQ29="7",BI29,0)</f>
        <v>0</v>
      </c>
      <c r="AF29" s="38">
        <f>IF(AQ29="2",BH29,0)</f>
        <v>0</v>
      </c>
      <c r="AG29" s="38">
        <f>IF(AQ29="2",BI29,0)</f>
        <v>0</v>
      </c>
      <c r="AH29" s="38">
        <f>IF(AQ29="0",BJ29,0)</f>
        <v>0</v>
      </c>
      <c r="AI29" s="32"/>
      <c r="AJ29" s="38">
        <f>IF(AN29=0,J29,0)</f>
        <v>0</v>
      </c>
      <c r="AK29" s="38">
        <f>IF(AN29=15,J29,0)</f>
        <v>0</v>
      </c>
      <c r="AL29" s="38">
        <f>IF(AN29=21,J29,0)</f>
        <v>0</v>
      </c>
      <c r="AN29" s="38">
        <v>21</v>
      </c>
      <c r="AO29" s="38">
        <f>G29*0.500880995592429</f>
        <v>0</v>
      </c>
      <c r="AP29" s="38">
        <f>G29*(1-0.500880995592429)</f>
        <v>0</v>
      </c>
      <c r="AQ29" s="39" t="s">
        <v>49</v>
      </c>
      <c r="AV29" s="38">
        <f>AW29+AX29</f>
        <v>0</v>
      </c>
      <c r="AW29" s="38">
        <f>F29*AO29</f>
        <v>0</v>
      </c>
      <c r="AX29" s="38">
        <f>F29*AP29</f>
        <v>0</v>
      </c>
      <c r="AY29" s="39" t="s">
        <v>92</v>
      </c>
      <c r="AZ29" s="39" t="s">
        <v>93</v>
      </c>
      <c r="BA29" s="32" t="s">
        <v>55</v>
      </c>
      <c r="BC29" s="38">
        <f>AW29+AX29</f>
        <v>0</v>
      </c>
      <c r="BD29" s="38">
        <f>G29/(100-BE29)*100</f>
        <v>0</v>
      </c>
      <c r="BE29" s="38">
        <v>0</v>
      </c>
      <c r="BF29" s="38">
        <f>L29</f>
        <v>0.10034900000000001</v>
      </c>
      <c r="BH29" s="38">
        <f>F29*AO29</f>
        <v>0</v>
      </c>
      <c r="BI29" s="38">
        <f>F29*AP29</f>
        <v>0</v>
      </c>
      <c r="BJ29" s="38">
        <f>F29*G29</f>
        <v>0</v>
      </c>
    </row>
    <row r="30" spans="1:47" ht="12.75">
      <c r="A30" s="40"/>
      <c r="B30" s="41"/>
      <c r="C30" s="41" t="s">
        <v>104</v>
      </c>
      <c r="D30" s="41" t="s">
        <v>105</v>
      </c>
      <c r="E30" s="40" t="s">
        <v>4</v>
      </c>
      <c r="F30" s="40" t="s">
        <v>4</v>
      </c>
      <c r="G30" s="40"/>
      <c r="H30" s="37">
        <f>SUM(H31:H32)</f>
        <v>0</v>
      </c>
      <c r="I30" s="37">
        <f>SUM(I31:I32)</f>
        <v>0</v>
      </c>
      <c r="J30" s="37">
        <f>SUM(J31:J32)</f>
        <v>0</v>
      </c>
      <c r="K30" s="32"/>
      <c r="L30" s="37">
        <f>SUM(L31:L32)</f>
        <v>0.75114</v>
      </c>
      <c r="M30" s="32"/>
      <c r="AI30" s="32"/>
      <c r="AS30" s="37">
        <f>SUM(AJ31:AJ32)</f>
        <v>0</v>
      </c>
      <c r="AT30" s="37">
        <f>SUM(AK31:AK32)</f>
        <v>0</v>
      </c>
      <c r="AU30" s="37">
        <f>SUM(AL31:AL32)</f>
        <v>0</v>
      </c>
    </row>
    <row r="31" spans="1:62" ht="12.75">
      <c r="A31" s="11" t="s">
        <v>106</v>
      </c>
      <c r="B31" s="11"/>
      <c r="C31" s="11" t="s">
        <v>107</v>
      </c>
      <c r="D31" s="11" t="s">
        <v>108</v>
      </c>
      <c r="E31" s="11" t="s">
        <v>52</v>
      </c>
      <c r="F31" s="38">
        <v>220</v>
      </c>
      <c r="G31" s="38"/>
      <c r="H31" s="38">
        <f>F31*AO31</f>
        <v>0</v>
      </c>
      <c r="I31" s="38">
        <f>F31*AP31</f>
        <v>0</v>
      </c>
      <c r="J31" s="38">
        <f>F31*G31</f>
        <v>0</v>
      </c>
      <c r="K31" s="38">
        <v>0</v>
      </c>
      <c r="L31" s="38">
        <f>F31*K31</f>
        <v>0</v>
      </c>
      <c r="M31" s="39"/>
      <c r="Z31" s="38">
        <f>IF(AQ31="5",BJ31,0)</f>
        <v>0</v>
      </c>
      <c r="AB31" s="38">
        <f>IF(AQ31="1",BH31,0)</f>
        <v>0</v>
      </c>
      <c r="AC31" s="38">
        <f>IF(AQ31="1",BI31,0)</f>
        <v>0</v>
      </c>
      <c r="AD31" s="38">
        <f>IF(AQ31="7",BH31,0)</f>
        <v>0</v>
      </c>
      <c r="AE31" s="38">
        <f>IF(AQ31="7",BI31,0)</f>
        <v>0</v>
      </c>
      <c r="AF31" s="38">
        <f>IF(AQ31="2",BH31,0)</f>
        <v>0</v>
      </c>
      <c r="AG31" s="38">
        <f>IF(AQ31="2",BI31,0)</f>
        <v>0</v>
      </c>
      <c r="AH31" s="38">
        <f>IF(AQ31="0",BJ31,0)</f>
        <v>0</v>
      </c>
      <c r="AI31" s="32"/>
      <c r="AJ31" s="38">
        <f>IF(AN31=0,J31,0)</f>
        <v>0</v>
      </c>
      <c r="AK31" s="38">
        <f>IF(AN31=15,J31,0)</f>
        <v>0</v>
      </c>
      <c r="AL31" s="38">
        <f>IF(AN31=21,J31,0)</f>
        <v>0</v>
      </c>
      <c r="AN31" s="38">
        <v>21</v>
      </c>
      <c r="AO31" s="38">
        <f>G31*0.7456</f>
        <v>0</v>
      </c>
      <c r="AP31" s="38">
        <f>G31*(1-0.7456)</f>
        <v>0</v>
      </c>
      <c r="AQ31" s="39" t="s">
        <v>49</v>
      </c>
      <c r="AV31" s="38">
        <f>AW31+AX31</f>
        <v>0</v>
      </c>
      <c r="AW31" s="38">
        <f>F31*AO31</f>
        <v>0</v>
      </c>
      <c r="AX31" s="38">
        <f>F31*AP31</f>
        <v>0</v>
      </c>
      <c r="AY31" s="39" t="s">
        <v>109</v>
      </c>
      <c r="AZ31" s="39" t="s">
        <v>110</v>
      </c>
      <c r="BA31" s="32" t="s">
        <v>55</v>
      </c>
      <c r="BC31" s="38">
        <f>AW31+AX31</f>
        <v>0</v>
      </c>
      <c r="BD31" s="38">
        <f>G31/(100-BE31)*100</f>
        <v>0</v>
      </c>
      <c r="BE31" s="38">
        <v>0</v>
      </c>
      <c r="BF31" s="38">
        <f>L31</f>
        <v>0</v>
      </c>
      <c r="BH31" s="38">
        <f>F31*AO31</f>
        <v>0</v>
      </c>
      <c r="BI31" s="38">
        <f>F31*AP31</f>
        <v>0</v>
      </c>
      <c r="BJ31" s="38">
        <f>F31*G31</f>
        <v>0</v>
      </c>
    </row>
    <row r="32" spans="1:62" ht="12.75">
      <c r="A32" s="11" t="s">
        <v>111</v>
      </c>
      <c r="B32" s="11"/>
      <c r="C32" s="11" t="s">
        <v>112</v>
      </c>
      <c r="D32" s="11" t="s">
        <v>113</v>
      </c>
      <c r="E32" s="11" t="s">
        <v>114</v>
      </c>
      <c r="F32" s="38">
        <v>107</v>
      </c>
      <c r="G32" s="38"/>
      <c r="H32" s="38">
        <f>F32*AO32</f>
        <v>0</v>
      </c>
      <c r="I32" s="38">
        <f>F32*AP32</f>
        <v>0</v>
      </c>
      <c r="J32" s="38">
        <f>F32*G32</f>
        <v>0</v>
      </c>
      <c r="K32" s="38">
        <v>0.00702</v>
      </c>
      <c r="L32" s="38">
        <f>F32*K32</f>
        <v>0.75114</v>
      </c>
      <c r="M32" s="39"/>
      <c r="Z32" s="38">
        <f>IF(AQ32="5",BJ32,0)</f>
        <v>0</v>
      </c>
      <c r="AB32" s="38">
        <f>IF(AQ32="1",BH32,0)</f>
        <v>0</v>
      </c>
      <c r="AC32" s="38">
        <f>IF(AQ32="1",BI32,0)</f>
        <v>0</v>
      </c>
      <c r="AD32" s="38">
        <f>IF(AQ32="7",BH32,0)</f>
        <v>0</v>
      </c>
      <c r="AE32" s="38">
        <f>IF(AQ32="7",BI32,0)</f>
        <v>0</v>
      </c>
      <c r="AF32" s="38">
        <f>IF(AQ32="2",BH32,0)</f>
        <v>0</v>
      </c>
      <c r="AG32" s="38">
        <f>IF(AQ32="2",BI32,0)</f>
        <v>0</v>
      </c>
      <c r="AH32" s="38">
        <f>IF(AQ32="0",BJ32,0)</f>
        <v>0</v>
      </c>
      <c r="AI32" s="32"/>
      <c r="AJ32" s="38">
        <f>IF(AN32=0,J32,0)</f>
        <v>0</v>
      </c>
      <c r="AK32" s="38">
        <f>IF(AN32=15,J32,0)</f>
        <v>0</v>
      </c>
      <c r="AL32" s="38">
        <f>IF(AN32=21,J32,0)</f>
        <v>0</v>
      </c>
      <c r="AN32" s="38">
        <v>21</v>
      </c>
      <c r="AO32" s="38">
        <f>G32*0.387059973924381</f>
        <v>0</v>
      </c>
      <c r="AP32" s="38">
        <f>G32*(1-0.387059973924381)</f>
        <v>0</v>
      </c>
      <c r="AQ32" s="39" t="s">
        <v>49</v>
      </c>
      <c r="AV32" s="38">
        <f>AW32+AX32</f>
        <v>0</v>
      </c>
      <c r="AW32" s="38">
        <f>F32*AO32</f>
        <v>0</v>
      </c>
      <c r="AX32" s="38">
        <f>F32*AP32</f>
        <v>0</v>
      </c>
      <c r="AY32" s="39" t="s">
        <v>109</v>
      </c>
      <c r="AZ32" s="39" t="s">
        <v>110</v>
      </c>
      <c r="BA32" s="32" t="s">
        <v>55</v>
      </c>
      <c r="BC32" s="38">
        <f>AW32+AX32</f>
        <v>0</v>
      </c>
      <c r="BD32" s="38">
        <f>G32/(100-BE32)*100</f>
        <v>0</v>
      </c>
      <c r="BE32" s="38">
        <v>0</v>
      </c>
      <c r="BF32" s="38">
        <f>L32</f>
        <v>0.75114</v>
      </c>
      <c r="BH32" s="38">
        <f>F32*AO32</f>
        <v>0</v>
      </c>
      <c r="BI32" s="38">
        <f>F32*AP32</f>
        <v>0</v>
      </c>
      <c r="BJ32" s="38">
        <f>F32*G32</f>
        <v>0</v>
      </c>
    </row>
    <row r="33" spans="1:47" ht="12.75">
      <c r="A33" s="40"/>
      <c r="B33" s="41"/>
      <c r="C33" s="41" t="s">
        <v>115</v>
      </c>
      <c r="D33" s="41" t="s">
        <v>116</v>
      </c>
      <c r="E33" s="40" t="s">
        <v>4</v>
      </c>
      <c r="F33" s="40" t="s">
        <v>4</v>
      </c>
      <c r="G33" s="40"/>
      <c r="H33" s="37">
        <f>SUM(H34:H35)</f>
        <v>0</v>
      </c>
      <c r="I33" s="37">
        <f>SUM(I34:I35)</f>
        <v>0</v>
      </c>
      <c r="J33" s="37">
        <f>SUM(J34:J35)</f>
        <v>0</v>
      </c>
      <c r="K33" s="32"/>
      <c r="L33" s="37">
        <f>SUM(L34:L35)</f>
        <v>85.14672</v>
      </c>
      <c r="M33" s="32"/>
      <c r="AI33" s="32"/>
      <c r="AS33" s="37">
        <f>SUM(AJ34:AJ35)</f>
        <v>0</v>
      </c>
      <c r="AT33" s="37">
        <f>SUM(AK34:AK35)</f>
        <v>0</v>
      </c>
      <c r="AU33" s="37">
        <f>SUM(AL34:AL35)</f>
        <v>0</v>
      </c>
    </row>
    <row r="34" spans="1:62" ht="12.75">
      <c r="A34" s="11" t="s">
        <v>72</v>
      </c>
      <c r="B34" s="11"/>
      <c r="C34" s="11" t="s">
        <v>117</v>
      </c>
      <c r="D34" s="11" t="s">
        <v>118</v>
      </c>
      <c r="E34" s="11" t="s">
        <v>61</v>
      </c>
      <c r="F34" s="38">
        <v>40</v>
      </c>
      <c r="G34" s="38"/>
      <c r="H34" s="38">
        <f>F34*AO34</f>
        <v>0</v>
      </c>
      <c r="I34" s="38">
        <f>F34*AP34</f>
        <v>0</v>
      </c>
      <c r="J34" s="38">
        <f>F34*G34</f>
        <v>0</v>
      </c>
      <c r="K34" s="38">
        <v>1.66875</v>
      </c>
      <c r="L34" s="38">
        <f>F34*K34</f>
        <v>66.75</v>
      </c>
      <c r="M34" s="39"/>
      <c r="Z34" s="38">
        <f>IF(AQ34="5",BJ34,0)</f>
        <v>0</v>
      </c>
      <c r="AB34" s="38">
        <f>IF(AQ34="1",BH34,0)</f>
        <v>0</v>
      </c>
      <c r="AC34" s="38">
        <f>IF(AQ34="1",BI34,0)</f>
        <v>0</v>
      </c>
      <c r="AD34" s="38">
        <f>IF(AQ34="7",BH34,0)</f>
        <v>0</v>
      </c>
      <c r="AE34" s="38">
        <f>IF(AQ34="7",BI34,0)</f>
        <v>0</v>
      </c>
      <c r="AF34" s="38">
        <f>IF(AQ34="2",BH34,0)</f>
        <v>0</v>
      </c>
      <c r="AG34" s="38">
        <f>IF(AQ34="2",BI34,0)</f>
        <v>0</v>
      </c>
      <c r="AH34" s="38">
        <f>IF(AQ34="0",BJ34,0)</f>
        <v>0</v>
      </c>
      <c r="AI34" s="32"/>
      <c r="AJ34" s="38">
        <f>IF(AN34=0,J34,0)</f>
        <v>0</v>
      </c>
      <c r="AK34" s="38">
        <f>IF(AN34=15,J34,0)</f>
        <v>0</v>
      </c>
      <c r="AL34" s="38">
        <f>IF(AN34=21,J34,0)</f>
        <v>0</v>
      </c>
      <c r="AN34" s="38">
        <v>21</v>
      </c>
      <c r="AO34" s="38">
        <f>G34*0.50762697253201</f>
        <v>0</v>
      </c>
      <c r="AP34" s="38">
        <f>G34*(1-0.50762697253201)</f>
        <v>0</v>
      </c>
      <c r="AQ34" s="39" t="s">
        <v>49</v>
      </c>
      <c r="AV34" s="38">
        <f>AW34+AX34</f>
        <v>0</v>
      </c>
      <c r="AW34" s="38">
        <f>F34*AO34</f>
        <v>0</v>
      </c>
      <c r="AX34" s="38">
        <f>F34*AP34</f>
        <v>0</v>
      </c>
      <c r="AY34" s="39" t="s">
        <v>119</v>
      </c>
      <c r="AZ34" s="39" t="s">
        <v>120</v>
      </c>
      <c r="BA34" s="32" t="s">
        <v>55</v>
      </c>
      <c r="BC34" s="38">
        <f>AW34+AX34</f>
        <v>0</v>
      </c>
      <c r="BD34" s="38">
        <f>G34/(100-BE34)*100</f>
        <v>0</v>
      </c>
      <c r="BE34" s="38">
        <v>0</v>
      </c>
      <c r="BF34" s="38">
        <f>L34</f>
        <v>66.75</v>
      </c>
      <c r="BH34" s="38">
        <f>F34*AO34</f>
        <v>0</v>
      </c>
      <c r="BI34" s="38">
        <f>F34*AP34</f>
        <v>0</v>
      </c>
      <c r="BJ34" s="38">
        <f>F34*G34</f>
        <v>0</v>
      </c>
    </row>
    <row r="35" spans="1:62" ht="12.75">
      <c r="A35" s="11" t="s">
        <v>121</v>
      </c>
      <c r="B35" s="11"/>
      <c r="C35" s="11" t="s">
        <v>122</v>
      </c>
      <c r="D35" s="11" t="s">
        <v>123</v>
      </c>
      <c r="E35" s="11" t="s">
        <v>61</v>
      </c>
      <c r="F35" s="38">
        <v>10.8</v>
      </c>
      <c r="G35" s="38"/>
      <c r="H35" s="38">
        <f>F35*AO35</f>
        <v>0</v>
      </c>
      <c r="I35" s="38">
        <f>F35*AP35</f>
        <v>0</v>
      </c>
      <c r="J35" s="38">
        <f>F35*G35</f>
        <v>0</v>
      </c>
      <c r="K35" s="38">
        <v>1.7034</v>
      </c>
      <c r="L35" s="38">
        <f>F35*K35</f>
        <v>18.396720000000002</v>
      </c>
      <c r="M35" s="39"/>
      <c r="Z35" s="38">
        <f>IF(AQ35="5",BJ35,0)</f>
        <v>0</v>
      </c>
      <c r="AB35" s="38">
        <f>IF(AQ35="1",BH35,0)</f>
        <v>0</v>
      </c>
      <c r="AC35" s="38">
        <f>IF(AQ35="1",BI35,0)</f>
        <v>0</v>
      </c>
      <c r="AD35" s="38">
        <f>IF(AQ35="7",BH35,0)</f>
        <v>0</v>
      </c>
      <c r="AE35" s="38">
        <f>IF(AQ35="7",BI35,0)</f>
        <v>0</v>
      </c>
      <c r="AF35" s="38">
        <f>IF(AQ35="2",BH35,0)</f>
        <v>0</v>
      </c>
      <c r="AG35" s="38">
        <f>IF(AQ35="2",BI35,0)</f>
        <v>0</v>
      </c>
      <c r="AH35" s="38">
        <f>IF(AQ35="0",BJ35,0)</f>
        <v>0</v>
      </c>
      <c r="AI35" s="32"/>
      <c r="AJ35" s="38">
        <f>IF(AN35=0,J35,0)</f>
        <v>0</v>
      </c>
      <c r="AK35" s="38">
        <f>IF(AN35=15,J35,0)</f>
        <v>0</v>
      </c>
      <c r="AL35" s="38">
        <f>IF(AN35=21,J35,0)</f>
        <v>0</v>
      </c>
      <c r="AN35" s="38">
        <v>21</v>
      </c>
      <c r="AO35" s="38">
        <f>G35*0.601720815171796</f>
        <v>0</v>
      </c>
      <c r="AP35" s="38">
        <f>G35*(1-0.601720815171796)</f>
        <v>0</v>
      </c>
      <c r="AQ35" s="39" t="s">
        <v>49</v>
      </c>
      <c r="AV35" s="38">
        <f>AW35+AX35</f>
        <v>0</v>
      </c>
      <c r="AW35" s="38">
        <f>F35*AO35</f>
        <v>0</v>
      </c>
      <c r="AX35" s="38">
        <f>F35*AP35</f>
        <v>0</v>
      </c>
      <c r="AY35" s="39" t="s">
        <v>119</v>
      </c>
      <c r="AZ35" s="39" t="s">
        <v>120</v>
      </c>
      <c r="BA35" s="32" t="s">
        <v>55</v>
      </c>
      <c r="BC35" s="38">
        <f>AW35+AX35</f>
        <v>0</v>
      </c>
      <c r="BD35" s="38">
        <f>G35/(100-BE35)*100</f>
        <v>0</v>
      </c>
      <c r="BE35" s="38">
        <v>0</v>
      </c>
      <c r="BF35" s="38">
        <f>L35</f>
        <v>18.396720000000002</v>
      </c>
      <c r="BH35" s="38">
        <f>F35*AO35</f>
        <v>0</v>
      </c>
      <c r="BI35" s="38">
        <f>F35*AP35</f>
        <v>0</v>
      </c>
      <c r="BJ35" s="38">
        <f>F35*G35</f>
        <v>0</v>
      </c>
    </row>
    <row r="36" spans="1:47" ht="12.75">
      <c r="A36" s="40"/>
      <c r="B36" s="41"/>
      <c r="C36" s="41" t="s">
        <v>124</v>
      </c>
      <c r="D36" s="41" t="s">
        <v>125</v>
      </c>
      <c r="E36" s="40" t="s">
        <v>4</v>
      </c>
      <c r="F36" s="40" t="s">
        <v>4</v>
      </c>
      <c r="G36" s="40"/>
      <c r="H36" s="37">
        <f>SUM(H37:H37)</f>
        <v>0</v>
      </c>
      <c r="I36" s="37">
        <f>SUM(I37:I37)</f>
        <v>0</v>
      </c>
      <c r="J36" s="37">
        <f>SUM(J37:J37)</f>
        <v>0</v>
      </c>
      <c r="K36" s="32"/>
      <c r="L36" s="37">
        <f>SUM(L37:L37)</f>
        <v>508.71250000000003</v>
      </c>
      <c r="M36" s="32"/>
      <c r="AI36" s="32"/>
      <c r="AS36" s="37">
        <f>SUM(AJ37:AJ37)</f>
        <v>0</v>
      </c>
      <c r="AT36" s="37">
        <f>SUM(AK37:AK37)</f>
        <v>0</v>
      </c>
      <c r="AU36" s="37">
        <f>SUM(AL37:AL37)</f>
        <v>0</v>
      </c>
    </row>
    <row r="37" spans="1:62" ht="12.75">
      <c r="A37" s="11" t="s">
        <v>126</v>
      </c>
      <c r="B37" s="11"/>
      <c r="C37" s="11" t="s">
        <v>127</v>
      </c>
      <c r="D37" s="11" t="s">
        <v>128</v>
      </c>
      <c r="E37" s="11" t="s">
        <v>129</v>
      </c>
      <c r="F37" s="38">
        <v>250</v>
      </c>
      <c r="G37" s="38"/>
      <c r="H37" s="38">
        <f>F37*AO37</f>
        <v>0</v>
      </c>
      <c r="I37" s="38">
        <f>F37*AP37</f>
        <v>0</v>
      </c>
      <c r="J37" s="38">
        <f>F37*G37</f>
        <v>0</v>
      </c>
      <c r="K37" s="38">
        <v>2.03485</v>
      </c>
      <c r="L37" s="38">
        <f>F37*K37</f>
        <v>508.71250000000003</v>
      </c>
      <c r="M37" s="39"/>
      <c r="Z37" s="38">
        <f>IF(AQ37="5",BJ37,0)</f>
        <v>0</v>
      </c>
      <c r="AB37" s="38">
        <f>IF(AQ37="1",BH37,0)</f>
        <v>0</v>
      </c>
      <c r="AC37" s="38">
        <f>IF(AQ37="1",BI37,0)</f>
        <v>0</v>
      </c>
      <c r="AD37" s="38">
        <f>IF(AQ37="7",BH37,0)</f>
        <v>0</v>
      </c>
      <c r="AE37" s="38">
        <f>IF(AQ37="7",BI37,0)</f>
        <v>0</v>
      </c>
      <c r="AF37" s="38">
        <f>IF(AQ37="2",BH37,0)</f>
        <v>0</v>
      </c>
      <c r="AG37" s="38">
        <f>IF(AQ37="2",BI37,0)</f>
        <v>0</v>
      </c>
      <c r="AH37" s="38">
        <f>IF(AQ37="0",BJ37,0)</f>
        <v>0</v>
      </c>
      <c r="AI37" s="32"/>
      <c r="AJ37" s="38">
        <f>IF(AN37=0,J37,0)</f>
        <v>0</v>
      </c>
      <c r="AK37" s="38">
        <f>IF(AN37=15,J37,0)</f>
        <v>0</v>
      </c>
      <c r="AL37" s="38">
        <f>IF(AN37=21,J37,0)</f>
        <v>0</v>
      </c>
      <c r="AN37" s="38">
        <v>21</v>
      </c>
      <c r="AO37" s="38">
        <f>G37*0.752941176470588</f>
        <v>0</v>
      </c>
      <c r="AP37" s="38">
        <f>G37*(1-0.752941176470588)</f>
        <v>0</v>
      </c>
      <c r="AQ37" s="39" t="s">
        <v>49</v>
      </c>
      <c r="AV37" s="38">
        <f>AW37+AX37</f>
        <v>0</v>
      </c>
      <c r="AW37" s="38">
        <f>F37*AO37</f>
        <v>0</v>
      </c>
      <c r="AX37" s="38">
        <f>F37*AP37</f>
        <v>0</v>
      </c>
      <c r="AY37" s="39" t="s">
        <v>130</v>
      </c>
      <c r="AZ37" s="39" t="s">
        <v>131</v>
      </c>
      <c r="BA37" s="32" t="s">
        <v>55</v>
      </c>
      <c r="BC37" s="38">
        <f>AW37+AX37</f>
        <v>0</v>
      </c>
      <c r="BD37" s="38">
        <f>G37/(100-BE37)*100</f>
        <v>0</v>
      </c>
      <c r="BE37" s="38">
        <v>0</v>
      </c>
      <c r="BF37" s="38">
        <f>L37</f>
        <v>508.71250000000003</v>
      </c>
      <c r="BH37" s="38">
        <f>F37*AO37</f>
        <v>0</v>
      </c>
      <c r="BI37" s="38">
        <f>F37*AP37</f>
        <v>0</v>
      </c>
      <c r="BJ37" s="38">
        <f>F37*G37</f>
        <v>0</v>
      </c>
    </row>
    <row r="38" spans="1:47" ht="12.75">
      <c r="A38" s="40"/>
      <c r="B38" s="41"/>
      <c r="C38" s="41" t="s">
        <v>132</v>
      </c>
      <c r="D38" s="41" t="s">
        <v>133</v>
      </c>
      <c r="E38" s="40" t="s">
        <v>4</v>
      </c>
      <c r="F38" s="40" t="s">
        <v>4</v>
      </c>
      <c r="G38" s="40"/>
      <c r="H38" s="37">
        <f>SUM(H39:H39)</f>
        <v>0</v>
      </c>
      <c r="I38" s="37">
        <f>SUM(I39:I39)</f>
        <v>0</v>
      </c>
      <c r="J38" s="37">
        <f>SUM(J39:J39)</f>
        <v>0</v>
      </c>
      <c r="K38" s="32"/>
      <c r="L38" s="37">
        <f>SUM(L39:L39)</f>
        <v>6.689279999999999</v>
      </c>
      <c r="M38" s="32"/>
      <c r="AI38" s="32"/>
      <c r="AS38" s="37">
        <f>SUM(AJ39:AJ39)</f>
        <v>0</v>
      </c>
      <c r="AT38" s="37">
        <f>SUM(AK39:AK39)</f>
        <v>0</v>
      </c>
      <c r="AU38" s="37">
        <f>SUM(AL39:AL39)</f>
        <v>0</v>
      </c>
    </row>
    <row r="39" spans="1:62" ht="12.75">
      <c r="A39" s="11" t="s">
        <v>78</v>
      </c>
      <c r="B39" s="11"/>
      <c r="C39" s="11" t="s">
        <v>134</v>
      </c>
      <c r="D39" s="11" t="s">
        <v>135</v>
      </c>
      <c r="E39" s="11" t="s">
        <v>52</v>
      </c>
      <c r="F39" s="38">
        <v>402</v>
      </c>
      <c r="G39" s="38"/>
      <c r="H39" s="38">
        <f>F39*AO39</f>
        <v>0</v>
      </c>
      <c r="I39" s="38">
        <f>F39*AP39</f>
        <v>0</v>
      </c>
      <c r="J39" s="38">
        <f>F39*G39</f>
        <v>0</v>
      </c>
      <c r="K39" s="38">
        <v>0.01664</v>
      </c>
      <c r="L39" s="38">
        <f>F39*K39</f>
        <v>6.689279999999999</v>
      </c>
      <c r="M39" s="39"/>
      <c r="Z39" s="38">
        <f>IF(AQ39="5",BJ39,0)</f>
        <v>0</v>
      </c>
      <c r="AB39" s="38">
        <f>IF(AQ39="1",BH39,0)</f>
        <v>0</v>
      </c>
      <c r="AC39" s="38">
        <f>IF(AQ39="1",BI39,0)</f>
        <v>0</v>
      </c>
      <c r="AD39" s="38">
        <f>IF(AQ39="7",BH39,0)</f>
        <v>0</v>
      </c>
      <c r="AE39" s="38">
        <f>IF(AQ39="7",BI39,0)</f>
        <v>0</v>
      </c>
      <c r="AF39" s="38">
        <f>IF(AQ39="2",BH39,0)</f>
        <v>0</v>
      </c>
      <c r="AG39" s="38">
        <f>IF(AQ39="2",BI39,0)</f>
        <v>0</v>
      </c>
      <c r="AH39" s="38">
        <f>IF(AQ39="0",BJ39,0)</f>
        <v>0</v>
      </c>
      <c r="AI39" s="32"/>
      <c r="AJ39" s="38">
        <f>IF(AN39=0,J39,0)</f>
        <v>0</v>
      </c>
      <c r="AK39" s="38">
        <f>IF(AN39=15,J39,0)</f>
        <v>0</v>
      </c>
      <c r="AL39" s="38">
        <f>IF(AN39=21,J39,0)</f>
        <v>0</v>
      </c>
      <c r="AN39" s="38">
        <v>21</v>
      </c>
      <c r="AO39" s="38">
        <f>G39*0.76669547923738</f>
        <v>0</v>
      </c>
      <c r="AP39" s="38">
        <f>G39*(1-0.76669547923738)</f>
        <v>0</v>
      </c>
      <c r="AQ39" s="39" t="s">
        <v>49</v>
      </c>
      <c r="AV39" s="38">
        <f>AW39+AX39</f>
        <v>0</v>
      </c>
      <c r="AW39" s="38">
        <f>F39*AO39</f>
        <v>0</v>
      </c>
      <c r="AX39" s="38">
        <f>F39*AP39</f>
        <v>0</v>
      </c>
      <c r="AY39" s="39" t="s">
        <v>136</v>
      </c>
      <c r="AZ39" s="39" t="s">
        <v>131</v>
      </c>
      <c r="BA39" s="32" t="s">
        <v>55</v>
      </c>
      <c r="BC39" s="38">
        <f>AW39+AX39</f>
        <v>0</v>
      </c>
      <c r="BD39" s="38">
        <f>G39/(100-BE39)*100</f>
        <v>0</v>
      </c>
      <c r="BE39" s="38">
        <v>0</v>
      </c>
      <c r="BF39" s="38">
        <f>L39</f>
        <v>6.689279999999999</v>
      </c>
      <c r="BH39" s="38">
        <f>F39*AO39</f>
        <v>0</v>
      </c>
      <c r="BI39" s="38">
        <f>F39*AP39</f>
        <v>0</v>
      </c>
      <c r="BJ39" s="38">
        <f>F39*G39</f>
        <v>0</v>
      </c>
    </row>
    <row r="40" spans="1:47" ht="12.75">
      <c r="A40" s="40"/>
      <c r="B40" s="41"/>
      <c r="C40" s="41" t="s">
        <v>137</v>
      </c>
      <c r="D40" s="41" t="s">
        <v>138</v>
      </c>
      <c r="E40" s="40" t="s">
        <v>4</v>
      </c>
      <c r="F40" s="40" t="s">
        <v>4</v>
      </c>
      <c r="G40" s="40"/>
      <c r="H40" s="37">
        <f>SUM(H41:H41)</f>
        <v>0</v>
      </c>
      <c r="I40" s="37">
        <f>SUM(I41:I41)</f>
        <v>0</v>
      </c>
      <c r="J40" s="37">
        <f>SUM(J41:J41)</f>
        <v>0</v>
      </c>
      <c r="K40" s="32"/>
      <c r="L40" s="37">
        <f>SUM(L41:L41)</f>
        <v>7.4025</v>
      </c>
      <c r="M40" s="32"/>
      <c r="AI40" s="32"/>
      <c r="AS40" s="37">
        <f>SUM(AJ41:AJ41)</f>
        <v>0</v>
      </c>
      <c r="AT40" s="37">
        <f>SUM(AK41:AK41)</f>
        <v>0</v>
      </c>
      <c r="AU40" s="37">
        <f>SUM(AL41:AL41)</f>
        <v>0</v>
      </c>
    </row>
    <row r="41" spans="1:62" ht="12.75">
      <c r="A41" s="11" t="s">
        <v>139</v>
      </c>
      <c r="B41" s="11"/>
      <c r="C41" s="11" t="s">
        <v>140</v>
      </c>
      <c r="D41" s="11" t="s">
        <v>141</v>
      </c>
      <c r="E41" s="11" t="s">
        <v>52</v>
      </c>
      <c r="F41" s="38">
        <v>250</v>
      </c>
      <c r="G41" s="38"/>
      <c r="H41" s="38">
        <f>F41*AO41</f>
        <v>0</v>
      </c>
      <c r="I41" s="38">
        <f>F41*AP41</f>
        <v>0</v>
      </c>
      <c r="J41" s="38">
        <f>F41*G41</f>
        <v>0</v>
      </c>
      <c r="K41" s="38">
        <v>0.02961</v>
      </c>
      <c r="L41" s="38">
        <f>F41*K41</f>
        <v>7.4025</v>
      </c>
      <c r="M41" s="39"/>
      <c r="Z41" s="38">
        <f>IF(AQ41="5",BJ41,0)</f>
        <v>0</v>
      </c>
      <c r="AB41" s="38">
        <f>IF(AQ41="1",BH41,0)</f>
        <v>0</v>
      </c>
      <c r="AC41" s="38">
        <f>IF(AQ41="1",BI41,0)</f>
        <v>0</v>
      </c>
      <c r="AD41" s="38">
        <f>IF(AQ41="7",BH41,0)</f>
        <v>0</v>
      </c>
      <c r="AE41" s="38">
        <f>IF(AQ41="7",BI41,0)</f>
        <v>0</v>
      </c>
      <c r="AF41" s="38">
        <f>IF(AQ41="2",BH41,0)</f>
        <v>0</v>
      </c>
      <c r="AG41" s="38">
        <f>IF(AQ41="2",BI41,0)</f>
        <v>0</v>
      </c>
      <c r="AH41" s="38">
        <f>IF(AQ41="0",BJ41,0)</f>
        <v>0</v>
      </c>
      <c r="AI41" s="32"/>
      <c r="AJ41" s="38">
        <f>IF(AN41=0,J41,0)</f>
        <v>0</v>
      </c>
      <c r="AK41" s="38">
        <f>IF(AN41=15,J41,0)</f>
        <v>0</v>
      </c>
      <c r="AL41" s="38">
        <f>IF(AN41=21,J41,0)</f>
        <v>0</v>
      </c>
      <c r="AN41" s="38">
        <v>21</v>
      </c>
      <c r="AO41" s="38">
        <f>G41*0.803458904109589</f>
        <v>0</v>
      </c>
      <c r="AP41" s="38">
        <f>G41*(1-0.803458904109589)</f>
        <v>0</v>
      </c>
      <c r="AQ41" s="39" t="s">
        <v>49</v>
      </c>
      <c r="AV41" s="38">
        <f>AW41+AX41</f>
        <v>0</v>
      </c>
      <c r="AW41" s="38">
        <f>F41*AO41</f>
        <v>0</v>
      </c>
      <c r="AX41" s="38">
        <f>F41*AP41</f>
        <v>0</v>
      </c>
      <c r="AY41" s="39" t="s">
        <v>142</v>
      </c>
      <c r="AZ41" s="39" t="s">
        <v>143</v>
      </c>
      <c r="BA41" s="32" t="s">
        <v>55</v>
      </c>
      <c r="BC41" s="38">
        <f>AW41+AX41</f>
        <v>0</v>
      </c>
      <c r="BD41" s="38">
        <f>G41/(100-BE41)*100</f>
        <v>0</v>
      </c>
      <c r="BE41" s="38">
        <v>0</v>
      </c>
      <c r="BF41" s="38">
        <f>L41</f>
        <v>7.4025</v>
      </c>
      <c r="BH41" s="38">
        <f>F41*AO41</f>
        <v>0</v>
      </c>
      <c r="BI41" s="38">
        <f>F41*AP41</f>
        <v>0</v>
      </c>
      <c r="BJ41" s="38">
        <f>F41*G41</f>
        <v>0</v>
      </c>
    </row>
    <row r="42" spans="1:47" ht="12.75">
      <c r="A42" s="40"/>
      <c r="B42" s="41"/>
      <c r="C42" s="41" t="s">
        <v>144</v>
      </c>
      <c r="D42" s="41" t="s">
        <v>145</v>
      </c>
      <c r="E42" s="40" t="s">
        <v>4</v>
      </c>
      <c r="F42" s="40" t="s">
        <v>4</v>
      </c>
      <c r="G42" s="40"/>
      <c r="H42" s="37">
        <f>SUM(H43:H43)</f>
        <v>0</v>
      </c>
      <c r="I42" s="37">
        <f>SUM(I43:I43)</f>
        <v>0</v>
      </c>
      <c r="J42" s="37">
        <f>SUM(J43:J43)</f>
        <v>0</v>
      </c>
      <c r="K42" s="32"/>
      <c r="L42" s="37">
        <f>SUM(L43:L43)</f>
        <v>0.1008</v>
      </c>
      <c r="M42" s="32"/>
      <c r="AI42" s="32"/>
      <c r="AS42" s="37">
        <f>SUM(AJ43:AJ43)</f>
        <v>0</v>
      </c>
      <c r="AT42" s="37">
        <f>SUM(AK43:AK43)</f>
        <v>0</v>
      </c>
      <c r="AU42" s="37">
        <f>SUM(AL43:AL43)</f>
        <v>0</v>
      </c>
    </row>
    <row r="43" spans="1:62" ht="12.75">
      <c r="A43" s="11" t="s">
        <v>146</v>
      </c>
      <c r="B43" s="11"/>
      <c r="C43" s="11" t="s">
        <v>147</v>
      </c>
      <c r="D43" s="11" t="s">
        <v>148</v>
      </c>
      <c r="E43" s="11" t="s">
        <v>129</v>
      </c>
      <c r="F43" s="38">
        <v>504</v>
      </c>
      <c r="G43" s="38"/>
      <c r="H43" s="38">
        <f>F43*AO43</f>
        <v>0</v>
      </c>
      <c r="I43" s="38">
        <f>F43*AP43</f>
        <v>0</v>
      </c>
      <c r="J43" s="38">
        <f>F43*G43</f>
        <v>0</v>
      </c>
      <c r="K43" s="38">
        <v>0.0002</v>
      </c>
      <c r="L43" s="38">
        <f>F43*K43</f>
        <v>0.1008</v>
      </c>
      <c r="M43" s="39"/>
      <c r="Z43" s="38">
        <f>IF(AQ43="5",BJ43,0)</f>
        <v>0</v>
      </c>
      <c r="AB43" s="38">
        <f>IF(AQ43="1",BH43,0)</f>
        <v>0</v>
      </c>
      <c r="AC43" s="38">
        <f>IF(AQ43="1",BI43,0)</f>
        <v>0</v>
      </c>
      <c r="AD43" s="38">
        <f>IF(AQ43="7",BH43,0)</f>
        <v>0</v>
      </c>
      <c r="AE43" s="38">
        <f>IF(AQ43="7",BI43,0)</f>
        <v>0</v>
      </c>
      <c r="AF43" s="38">
        <f>IF(AQ43="2",BH43,0)</f>
        <v>0</v>
      </c>
      <c r="AG43" s="38">
        <f>IF(AQ43="2",BI43,0)</f>
        <v>0</v>
      </c>
      <c r="AH43" s="38">
        <f>IF(AQ43="0",BJ43,0)</f>
        <v>0</v>
      </c>
      <c r="AI43" s="32"/>
      <c r="AJ43" s="38">
        <f>IF(AN43=0,J43,0)</f>
        <v>0</v>
      </c>
      <c r="AK43" s="38">
        <f>IF(AN43=15,J43,0)</f>
        <v>0</v>
      </c>
      <c r="AL43" s="38">
        <f>IF(AN43=21,J43,0)</f>
        <v>0</v>
      </c>
      <c r="AN43" s="38">
        <v>21</v>
      </c>
      <c r="AO43" s="38">
        <f>G43*0.062563541096426</f>
        <v>0</v>
      </c>
      <c r="AP43" s="38">
        <f>G43*(1-0.062563541096426)</f>
        <v>0</v>
      </c>
      <c r="AQ43" s="39" t="s">
        <v>80</v>
      </c>
      <c r="AV43" s="38">
        <f>AW43+AX43</f>
        <v>0</v>
      </c>
      <c r="AW43" s="38">
        <f>F43*AO43</f>
        <v>0</v>
      </c>
      <c r="AX43" s="38">
        <f>F43*AP43</f>
        <v>0</v>
      </c>
      <c r="AY43" s="39" t="s">
        <v>149</v>
      </c>
      <c r="AZ43" s="39" t="s">
        <v>150</v>
      </c>
      <c r="BA43" s="32" t="s">
        <v>55</v>
      </c>
      <c r="BC43" s="38">
        <f>AW43+AX43</f>
        <v>0</v>
      </c>
      <c r="BD43" s="38">
        <f>G43/(100-BE43)*100</f>
        <v>0</v>
      </c>
      <c r="BE43" s="38">
        <v>0</v>
      </c>
      <c r="BF43" s="38">
        <f>L43</f>
        <v>0.1008</v>
      </c>
      <c r="BH43" s="38">
        <f>F43*AO43</f>
        <v>0</v>
      </c>
      <c r="BI43" s="38">
        <f>F43*AP43</f>
        <v>0</v>
      </c>
      <c r="BJ43" s="38">
        <f>F43*G43</f>
        <v>0</v>
      </c>
    </row>
    <row r="44" spans="1:47" ht="12.75">
      <c r="A44" s="40"/>
      <c r="B44" s="41"/>
      <c r="C44" s="41" t="s">
        <v>151</v>
      </c>
      <c r="D44" s="41" t="s">
        <v>152</v>
      </c>
      <c r="E44" s="40" t="s">
        <v>4</v>
      </c>
      <c r="F44" s="40" t="s">
        <v>4</v>
      </c>
      <c r="G44" s="40"/>
      <c r="H44" s="37">
        <f>SUM(H45:H47)</f>
        <v>0</v>
      </c>
      <c r="I44" s="37">
        <f>SUM(I45:I47)</f>
        <v>0</v>
      </c>
      <c r="J44" s="37">
        <f>SUM(J45:J47)</f>
        <v>0</v>
      </c>
      <c r="K44" s="32"/>
      <c r="L44" s="37">
        <f>SUM(L45:L47)</f>
        <v>0.057600000000000005</v>
      </c>
      <c r="M44" s="32"/>
      <c r="AI44" s="32"/>
      <c r="AS44" s="37">
        <f>SUM(AJ45:AJ47)</f>
        <v>0</v>
      </c>
      <c r="AT44" s="37">
        <f>SUM(AK45:AK47)</f>
        <v>0</v>
      </c>
      <c r="AU44" s="37">
        <f>SUM(AL45:AL47)</f>
        <v>0</v>
      </c>
    </row>
    <row r="45" spans="1:62" ht="12.75">
      <c r="A45" s="11" t="s">
        <v>153</v>
      </c>
      <c r="B45" s="11"/>
      <c r="C45" s="11" t="s">
        <v>154</v>
      </c>
      <c r="D45" s="11" t="s">
        <v>155</v>
      </c>
      <c r="E45" s="11" t="s">
        <v>156</v>
      </c>
      <c r="F45" s="38">
        <v>1152</v>
      </c>
      <c r="G45" s="38"/>
      <c r="H45" s="38">
        <f>F45*AO45</f>
        <v>0</v>
      </c>
      <c r="I45" s="38">
        <f>F45*AP45</f>
        <v>0</v>
      </c>
      <c r="J45" s="38">
        <f>F45*G45</f>
        <v>0</v>
      </c>
      <c r="K45" s="38">
        <v>5E-05</v>
      </c>
      <c r="L45" s="38">
        <f>F45*K45</f>
        <v>0.057600000000000005</v>
      </c>
      <c r="M45" s="39"/>
      <c r="Z45" s="38">
        <f>IF(AQ45="5",BJ45,0)</f>
        <v>0</v>
      </c>
      <c r="AB45" s="38">
        <f>IF(AQ45="1",BH45,0)</f>
        <v>0</v>
      </c>
      <c r="AC45" s="38">
        <f>IF(AQ45="1",BI45,0)</f>
        <v>0</v>
      </c>
      <c r="AD45" s="38">
        <f>IF(AQ45="7",BH45,0)</f>
        <v>0</v>
      </c>
      <c r="AE45" s="38">
        <f>IF(AQ45="7",BI45,0)</f>
        <v>0</v>
      </c>
      <c r="AF45" s="38">
        <f>IF(AQ45="2",BH45,0)</f>
        <v>0</v>
      </c>
      <c r="AG45" s="38">
        <f>IF(AQ45="2",BI45,0)</f>
        <v>0</v>
      </c>
      <c r="AH45" s="38">
        <f>IF(AQ45="0",BJ45,0)</f>
        <v>0</v>
      </c>
      <c r="AI45" s="32"/>
      <c r="AJ45" s="38">
        <f>IF(AN45=0,J45,0)</f>
        <v>0</v>
      </c>
      <c r="AK45" s="38">
        <f>IF(AN45=15,J45,0)</f>
        <v>0</v>
      </c>
      <c r="AL45" s="38">
        <f>IF(AN45=21,J45,0)</f>
        <v>0</v>
      </c>
      <c r="AN45" s="38">
        <v>21</v>
      </c>
      <c r="AO45" s="38">
        <f>G45*0.144227005870842</f>
        <v>0</v>
      </c>
      <c r="AP45" s="38">
        <f>G45*(1-0.144227005870842)</f>
        <v>0</v>
      </c>
      <c r="AQ45" s="39" t="s">
        <v>80</v>
      </c>
      <c r="AV45" s="38">
        <f>AW45+AX45</f>
        <v>0</v>
      </c>
      <c r="AW45" s="38">
        <f>F45*AO45</f>
        <v>0</v>
      </c>
      <c r="AX45" s="38">
        <f>F45*AP45</f>
        <v>0</v>
      </c>
      <c r="AY45" s="39" t="s">
        <v>157</v>
      </c>
      <c r="AZ45" s="39" t="s">
        <v>150</v>
      </c>
      <c r="BA45" s="32" t="s">
        <v>55</v>
      </c>
      <c r="BC45" s="38">
        <f>AW45+AX45</f>
        <v>0</v>
      </c>
      <c r="BD45" s="38">
        <f>G45/(100-BE45)*100</f>
        <v>0</v>
      </c>
      <c r="BE45" s="38">
        <v>0</v>
      </c>
      <c r="BF45" s="38">
        <f>L45</f>
        <v>0.057600000000000005</v>
      </c>
      <c r="BH45" s="38">
        <f>F45*AO45</f>
        <v>0</v>
      </c>
      <c r="BI45" s="38">
        <f>F45*AP45</f>
        <v>0</v>
      </c>
      <c r="BJ45" s="38">
        <f>F45*G45</f>
        <v>0</v>
      </c>
    </row>
    <row r="46" spans="1:62" ht="12.75">
      <c r="A46" s="11" t="s">
        <v>158</v>
      </c>
      <c r="B46" s="11"/>
      <c r="C46" s="11" t="s">
        <v>159</v>
      </c>
      <c r="D46" s="11" t="s">
        <v>160</v>
      </c>
      <c r="E46" s="11" t="s">
        <v>114</v>
      </c>
      <c r="F46" s="38">
        <v>1</v>
      </c>
      <c r="G46" s="38"/>
      <c r="H46" s="38">
        <f>F46*AO46</f>
        <v>0</v>
      </c>
      <c r="I46" s="38">
        <f>F46*AP46</f>
        <v>0</v>
      </c>
      <c r="J46" s="38">
        <f>F46*G46</f>
        <v>0</v>
      </c>
      <c r="K46" s="38">
        <v>0</v>
      </c>
      <c r="L46" s="38">
        <f>F46*K46</f>
        <v>0</v>
      </c>
      <c r="M46" s="39"/>
      <c r="Z46" s="38">
        <f>IF(AQ46="5",BJ46,0)</f>
        <v>0</v>
      </c>
      <c r="AB46" s="38">
        <f>IF(AQ46="1",BH46,0)</f>
        <v>0</v>
      </c>
      <c r="AC46" s="38">
        <f>IF(AQ46="1",BI46,0)</f>
        <v>0</v>
      </c>
      <c r="AD46" s="38">
        <f>IF(AQ46="7",BH46,0)</f>
        <v>0</v>
      </c>
      <c r="AE46" s="38">
        <f>IF(AQ46="7",BI46,0)</f>
        <v>0</v>
      </c>
      <c r="AF46" s="38">
        <f>IF(AQ46="2",BH46,0)</f>
        <v>0</v>
      </c>
      <c r="AG46" s="38">
        <f>IF(AQ46="2",BI46,0)</f>
        <v>0</v>
      </c>
      <c r="AH46" s="38">
        <f>IF(AQ46="0",BJ46,0)</f>
        <v>0</v>
      </c>
      <c r="AI46" s="32"/>
      <c r="AJ46" s="38">
        <f>IF(AN46=0,J46,0)</f>
        <v>0</v>
      </c>
      <c r="AK46" s="38">
        <f>IF(AN46=15,J46,0)</f>
        <v>0</v>
      </c>
      <c r="AL46" s="38">
        <f>IF(AN46=21,J46,0)</f>
        <v>0</v>
      </c>
      <c r="AN46" s="38">
        <v>21</v>
      </c>
      <c r="AO46" s="38">
        <f>G46*0.901531702362314</f>
        <v>0</v>
      </c>
      <c r="AP46" s="38">
        <f>G46*(1-0.901531702362314)</f>
        <v>0</v>
      </c>
      <c r="AQ46" s="39" t="s">
        <v>80</v>
      </c>
      <c r="AV46" s="38">
        <f>AW46+AX46</f>
        <v>0</v>
      </c>
      <c r="AW46" s="38">
        <f>F46*AO46</f>
        <v>0</v>
      </c>
      <c r="AX46" s="38">
        <f>F46*AP46</f>
        <v>0</v>
      </c>
      <c r="AY46" s="39" t="s">
        <v>157</v>
      </c>
      <c r="AZ46" s="39" t="s">
        <v>150</v>
      </c>
      <c r="BA46" s="32" t="s">
        <v>55</v>
      </c>
      <c r="BC46" s="38">
        <f>AW46+AX46</f>
        <v>0</v>
      </c>
      <c r="BD46" s="38">
        <f>G46/(100-BE46)*100</f>
        <v>0</v>
      </c>
      <c r="BE46" s="38">
        <v>0</v>
      </c>
      <c r="BF46" s="38">
        <f>L46</f>
        <v>0</v>
      </c>
      <c r="BH46" s="38">
        <f>F46*AO46</f>
        <v>0</v>
      </c>
      <c r="BI46" s="38">
        <f>F46*AP46</f>
        <v>0</v>
      </c>
      <c r="BJ46" s="38">
        <f>F46*G46</f>
        <v>0</v>
      </c>
    </row>
    <row r="47" spans="1:62" ht="12.75">
      <c r="A47" s="11" t="s">
        <v>161</v>
      </c>
      <c r="B47" s="11"/>
      <c r="C47" s="11" t="s">
        <v>162</v>
      </c>
      <c r="D47" s="11" t="s">
        <v>163</v>
      </c>
      <c r="E47" s="11" t="s">
        <v>114</v>
      </c>
      <c r="F47" s="38">
        <v>1</v>
      </c>
      <c r="G47" s="38"/>
      <c r="H47" s="38">
        <f>F47*AO47</f>
        <v>0</v>
      </c>
      <c r="I47" s="38">
        <f>F47*AP47</f>
        <v>0</v>
      </c>
      <c r="J47" s="38">
        <f>F47*G47</f>
        <v>0</v>
      </c>
      <c r="K47" s="38">
        <v>0</v>
      </c>
      <c r="L47" s="38">
        <f>F47*K47</f>
        <v>0</v>
      </c>
      <c r="M47" s="39"/>
      <c r="Z47" s="38">
        <f>IF(AQ47="5",BJ47,0)</f>
        <v>0</v>
      </c>
      <c r="AB47" s="38">
        <f>IF(AQ47="1",BH47,0)</f>
        <v>0</v>
      </c>
      <c r="AC47" s="38">
        <f>IF(AQ47="1",BI47,0)</f>
        <v>0</v>
      </c>
      <c r="AD47" s="38">
        <f>IF(AQ47="7",BH47,0)</f>
        <v>0</v>
      </c>
      <c r="AE47" s="38">
        <f>IF(AQ47="7",BI47,0)</f>
        <v>0</v>
      </c>
      <c r="AF47" s="38">
        <f>IF(AQ47="2",BH47,0)</f>
        <v>0</v>
      </c>
      <c r="AG47" s="38">
        <f>IF(AQ47="2",BI47,0)</f>
        <v>0</v>
      </c>
      <c r="AH47" s="38">
        <f>IF(AQ47="0",BJ47,0)</f>
        <v>0</v>
      </c>
      <c r="AI47" s="32"/>
      <c r="AJ47" s="38">
        <f>IF(AN47=0,J47,0)</f>
        <v>0</v>
      </c>
      <c r="AK47" s="38">
        <f>IF(AN47=15,J47,0)</f>
        <v>0</v>
      </c>
      <c r="AL47" s="38">
        <f>IF(AN47=21,J47,0)</f>
        <v>0</v>
      </c>
      <c r="AN47" s="38">
        <v>21</v>
      </c>
      <c r="AO47" s="38">
        <f>G47*0.917993166792682</f>
        <v>0</v>
      </c>
      <c r="AP47" s="38">
        <f>G47*(1-0.917993166792682)</f>
        <v>0</v>
      </c>
      <c r="AQ47" s="39" t="s">
        <v>80</v>
      </c>
      <c r="AV47" s="38">
        <f>AW47+AX47</f>
        <v>0</v>
      </c>
      <c r="AW47" s="38">
        <f>F47*AO47</f>
        <v>0</v>
      </c>
      <c r="AX47" s="38">
        <f>F47*AP47</f>
        <v>0</v>
      </c>
      <c r="AY47" s="39" t="s">
        <v>157</v>
      </c>
      <c r="AZ47" s="39" t="s">
        <v>150</v>
      </c>
      <c r="BA47" s="32" t="s">
        <v>55</v>
      </c>
      <c r="BC47" s="38">
        <f>AW47+AX47</f>
        <v>0</v>
      </c>
      <c r="BD47" s="38">
        <f>G47/(100-BE47)*100</f>
        <v>0</v>
      </c>
      <c r="BE47" s="38">
        <v>0</v>
      </c>
      <c r="BF47" s="38">
        <f>L47</f>
        <v>0</v>
      </c>
      <c r="BH47" s="38">
        <f>F47*AO47</f>
        <v>0</v>
      </c>
      <c r="BI47" s="38">
        <f>F47*AP47</f>
        <v>0</v>
      </c>
      <c r="BJ47" s="38">
        <f>F47*G47</f>
        <v>0</v>
      </c>
    </row>
    <row r="48" spans="1:47" ht="12.75">
      <c r="A48" s="40"/>
      <c r="B48" s="41"/>
      <c r="C48" s="41" t="s">
        <v>164</v>
      </c>
      <c r="D48" s="41" t="s">
        <v>165</v>
      </c>
      <c r="E48" s="40" t="s">
        <v>4</v>
      </c>
      <c r="F48" s="40" t="s">
        <v>4</v>
      </c>
      <c r="G48" s="40"/>
      <c r="H48" s="37">
        <f>SUM(H49:H50)</f>
        <v>0</v>
      </c>
      <c r="I48" s="37">
        <f>SUM(I49:I50)</f>
        <v>0</v>
      </c>
      <c r="J48" s="37">
        <f>SUM(J49:J50)</f>
        <v>0</v>
      </c>
      <c r="K48" s="32"/>
      <c r="L48" s="37">
        <f>SUM(L49:L50)</f>
        <v>0.12845</v>
      </c>
      <c r="M48" s="32"/>
      <c r="AI48" s="32"/>
      <c r="AS48" s="37">
        <f>SUM(AJ49:AJ50)</f>
        <v>0</v>
      </c>
      <c r="AT48" s="37">
        <f>SUM(AK49:AK50)</f>
        <v>0</v>
      </c>
      <c r="AU48" s="37">
        <f>SUM(AL49:AL50)</f>
        <v>0</v>
      </c>
    </row>
    <row r="49" spans="1:62" ht="12.75">
      <c r="A49" s="11" t="s">
        <v>166</v>
      </c>
      <c r="B49" s="11"/>
      <c r="C49" s="11" t="s">
        <v>167</v>
      </c>
      <c r="D49" s="11" t="s">
        <v>168</v>
      </c>
      <c r="E49" s="11" t="s">
        <v>52</v>
      </c>
      <c r="F49" s="38">
        <v>45</v>
      </c>
      <c r="G49" s="38"/>
      <c r="H49" s="38">
        <f>F49*AO49</f>
        <v>0</v>
      </c>
      <c r="I49" s="38">
        <f>F49*AP49</f>
        <v>0</v>
      </c>
      <c r="J49" s="38">
        <f>F49*G49</f>
        <v>0</v>
      </c>
      <c r="K49" s="38">
        <v>0.00065</v>
      </c>
      <c r="L49" s="38">
        <f>F49*K49</f>
        <v>0.029249999999999998</v>
      </c>
      <c r="M49" s="39"/>
      <c r="Z49" s="38">
        <f>IF(AQ49="5",BJ49,0)</f>
        <v>0</v>
      </c>
      <c r="AB49" s="38">
        <f>IF(AQ49="1",BH49,0)</f>
        <v>0</v>
      </c>
      <c r="AC49" s="38">
        <f>IF(AQ49="1",BI49,0)</f>
        <v>0</v>
      </c>
      <c r="AD49" s="38">
        <f>IF(AQ49="7",BH49,0)</f>
        <v>0</v>
      </c>
      <c r="AE49" s="38">
        <f>IF(AQ49="7",BI49,0)</f>
        <v>0</v>
      </c>
      <c r="AF49" s="38">
        <f>IF(AQ49="2",BH49,0)</f>
        <v>0</v>
      </c>
      <c r="AG49" s="38">
        <f>IF(AQ49="2",BI49,0)</f>
        <v>0</v>
      </c>
      <c r="AH49" s="38">
        <f>IF(AQ49="0",BJ49,0)</f>
        <v>0</v>
      </c>
      <c r="AI49" s="32"/>
      <c r="AJ49" s="38">
        <f>IF(AN49=0,J49,0)</f>
        <v>0</v>
      </c>
      <c r="AK49" s="38">
        <f>IF(AN49=15,J49,0)</f>
        <v>0</v>
      </c>
      <c r="AL49" s="38">
        <f>IF(AN49=21,J49,0)</f>
        <v>0</v>
      </c>
      <c r="AN49" s="38">
        <v>21</v>
      </c>
      <c r="AO49" s="38">
        <f>G49*0.712759948652118</f>
        <v>0</v>
      </c>
      <c r="AP49" s="38">
        <f>G49*(1-0.712759948652118)</f>
        <v>0</v>
      </c>
      <c r="AQ49" s="39" t="s">
        <v>80</v>
      </c>
      <c r="AV49" s="38">
        <f>AW49+AX49</f>
        <v>0</v>
      </c>
      <c r="AW49" s="38">
        <f>F49*AO49</f>
        <v>0</v>
      </c>
      <c r="AX49" s="38">
        <f>F49*AP49</f>
        <v>0</v>
      </c>
      <c r="AY49" s="39" t="s">
        <v>169</v>
      </c>
      <c r="AZ49" s="39" t="s">
        <v>170</v>
      </c>
      <c r="BA49" s="32" t="s">
        <v>55</v>
      </c>
      <c r="BC49" s="38">
        <f>AW49+AX49</f>
        <v>0</v>
      </c>
      <c r="BD49" s="38">
        <f>G49/(100-BE49)*100</f>
        <v>0</v>
      </c>
      <c r="BE49" s="38">
        <v>0</v>
      </c>
      <c r="BF49" s="38">
        <f>L49</f>
        <v>0.029249999999999998</v>
      </c>
      <c r="BH49" s="38">
        <f>F49*AO49</f>
        <v>0</v>
      </c>
      <c r="BI49" s="38">
        <f>F49*AP49</f>
        <v>0</v>
      </c>
      <c r="BJ49" s="38">
        <f>F49*G49</f>
        <v>0</v>
      </c>
    </row>
    <row r="50" spans="1:62" ht="12.75">
      <c r="A50" s="11" t="s">
        <v>171</v>
      </c>
      <c r="B50" s="11"/>
      <c r="C50" s="11" t="s">
        <v>172</v>
      </c>
      <c r="D50" s="11" t="s">
        <v>173</v>
      </c>
      <c r="E50" s="11" t="s">
        <v>52</v>
      </c>
      <c r="F50" s="38">
        <v>310</v>
      </c>
      <c r="G50" s="38"/>
      <c r="H50" s="38">
        <f>F50*AO50</f>
        <v>0</v>
      </c>
      <c r="I50" s="38">
        <f>F50*AP50</f>
        <v>0</v>
      </c>
      <c r="J50" s="38">
        <f>F50*G50</f>
        <v>0</v>
      </c>
      <c r="K50" s="38">
        <v>0.00032</v>
      </c>
      <c r="L50" s="38">
        <f>F50*K50</f>
        <v>0.09920000000000001</v>
      </c>
      <c r="M50" s="39"/>
      <c r="Z50" s="38">
        <f>IF(AQ50="5",BJ50,0)</f>
        <v>0</v>
      </c>
      <c r="AB50" s="38">
        <f>IF(AQ50="1",BH50,0)</f>
        <v>0</v>
      </c>
      <c r="AC50" s="38">
        <f>IF(AQ50="1",BI50,0)</f>
        <v>0</v>
      </c>
      <c r="AD50" s="38">
        <f>IF(AQ50="7",BH50,0)</f>
        <v>0</v>
      </c>
      <c r="AE50" s="38">
        <f>IF(AQ50="7",BI50,0)</f>
        <v>0</v>
      </c>
      <c r="AF50" s="38">
        <f>IF(AQ50="2",BH50,0)</f>
        <v>0</v>
      </c>
      <c r="AG50" s="38">
        <f>IF(AQ50="2",BI50,0)</f>
        <v>0</v>
      </c>
      <c r="AH50" s="38">
        <f>IF(AQ50="0",BJ50,0)</f>
        <v>0</v>
      </c>
      <c r="AI50" s="32"/>
      <c r="AJ50" s="38">
        <f>IF(AN50=0,J50,0)</f>
        <v>0</v>
      </c>
      <c r="AK50" s="38">
        <f>IF(AN50=15,J50,0)</f>
        <v>0</v>
      </c>
      <c r="AL50" s="38">
        <f>IF(AN50=21,J50,0)</f>
        <v>0</v>
      </c>
      <c r="AN50" s="38">
        <v>21</v>
      </c>
      <c r="AO50" s="38">
        <f>G50*0.397083333333333</f>
        <v>0</v>
      </c>
      <c r="AP50" s="38">
        <f>G50*(1-0.397083333333333)</f>
        <v>0</v>
      </c>
      <c r="AQ50" s="39" t="s">
        <v>80</v>
      </c>
      <c r="AV50" s="38">
        <f>AW50+AX50</f>
        <v>0</v>
      </c>
      <c r="AW50" s="38">
        <f>F50*AO50</f>
        <v>0</v>
      </c>
      <c r="AX50" s="38">
        <f>F50*AP50</f>
        <v>0</v>
      </c>
      <c r="AY50" s="39" t="s">
        <v>169</v>
      </c>
      <c r="AZ50" s="39" t="s">
        <v>170</v>
      </c>
      <c r="BA50" s="32" t="s">
        <v>55</v>
      </c>
      <c r="BC50" s="38">
        <f>AW50+AX50</f>
        <v>0</v>
      </c>
      <c r="BD50" s="38">
        <f>G50/(100-BE50)*100</f>
        <v>0</v>
      </c>
      <c r="BE50" s="38">
        <v>0</v>
      </c>
      <c r="BF50" s="38">
        <f>L50</f>
        <v>0.09920000000000001</v>
      </c>
      <c r="BH50" s="38">
        <f>F50*AO50</f>
        <v>0</v>
      </c>
      <c r="BI50" s="38">
        <f>F50*AP50</f>
        <v>0</v>
      </c>
      <c r="BJ50" s="38">
        <f>F50*G50</f>
        <v>0</v>
      </c>
    </row>
    <row r="51" spans="1:47" ht="12.75">
      <c r="A51" s="40"/>
      <c r="B51" s="41"/>
      <c r="C51" s="41" t="s">
        <v>174</v>
      </c>
      <c r="D51" s="41" t="s">
        <v>175</v>
      </c>
      <c r="E51" s="40" t="s">
        <v>4</v>
      </c>
      <c r="F51" s="40" t="s">
        <v>4</v>
      </c>
      <c r="G51" s="40"/>
      <c r="H51" s="37">
        <f>SUM(H52:H53)</f>
        <v>0</v>
      </c>
      <c r="I51" s="37">
        <f>SUM(I52:I53)</f>
        <v>0</v>
      </c>
      <c r="J51" s="37">
        <f>SUM(J52:J53)</f>
        <v>0</v>
      </c>
      <c r="K51" s="32"/>
      <c r="L51" s="37">
        <f>SUM(L52:L53)</f>
        <v>37.004279999999994</v>
      </c>
      <c r="M51" s="32"/>
      <c r="AI51" s="32"/>
      <c r="AS51" s="37">
        <f>SUM(AJ52:AJ53)</f>
        <v>0</v>
      </c>
      <c r="AT51" s="37">
        <f>SUM(AK52:AK53)</f>
        <v>0</v>
      </c>
      <c r="AU51" s="37">
        <f>SUM(AL52:AL53)</f>
        <v>0</v>
      </c>
    </row>
    <row r="52" spans="1:62" ht="12.75">
      <c r="A52" s="11" t="s">
        <v>87</v>
      </c>
      <c r="B52" s="11"/>
      <c r="C52" s="11" t="s">
        <v>176</v>
      </c>
      <c r="D52" s="11" t="s">
        <v>177</v>
      </c>
      <c r="E52" s="11" t="s">
        <v>129</v>
      </c>
      <c r="F52" s="38">
        <v>74</v>
      </c>
      <c r="G52" s="38"/>
      <c r="H52" s="38">
        <f>F52*AO52</f>
        <v>0</v>
      </c>
      <c r="I52" s="38">
        <f>F52*AP52</f>
        <v>0</v>
      </c>
      <c r="J52" s="38">
        <f>F52*G52</f>
        <v>0</v>
      </c>
      <c r="K52" s="38">
        <v>0.12472</v>
      </c>
      <c r="L52" s="38">
        <f>F52*K52</f>
        <v>9.22928</v>
      </c>
      <c r="M52" s="39"/>
      <c r="Z52" s="38">
        <f>IF(AQ52="5",BJ52,0)</f>
        <v>0</v>
      </c>
      <c r="AB52" s="38">
        <f>IF(AQ52="1",BH52,0)</f>
        <v>0</v>
      </c>
      <c r="AC52" s="38">
        <f>IF(AQ52="1",BI52,0)</f>
        <v>0</v>
      </c>
      <c r="AD52" s="38">
        <f>IF(AQ52="7",BH52,0)</f>
        <v>0</v>
      </c>
      <c r="AE52" s="38">
        <f>IF(AQ52="7",BI52,0)</f>
        <v>0</v>
      </c>
      <c r="AF52" s="38">
        <f>IF(AQ52="2",BH52,0)</f>
        <v>0</v>
      </c>
      <c r="AG52" s="38">
        <f>IF(AQ52="2",BI52,0)</f>
        <v>0</v>
      </c>
      <c r="AH52" s="38">
        <f>IF(AQ52="0",BJ52,0)</f>
        <v>0</v>
      </c>
      <c r="AI52" s="32"/>
      <c r="AJ52" s="38">
        <f>IF(AN52=0,J52,0)</f>
        <v>0</v>
      </c>
      <c r="AK52" s="38">
        <f>IF(AN52=15,J52,0)</f>
        <v>0</v>
      </c>
      <c r="AL52" s="38">
        <f>IF(AN52=21,J52,0)</f>
        <v>0</v>
      </c>
      <c r="AN52" s="38">
        <v>21</v>
      </c>
      <c r="AO52" s="38">
        <f>G52*0.925194907727228</f>
        <v>0</v>
      </c>
      <c r="AP52" s="38">
        <f>G52*(1-0.925194907727228)</f>
        <v>0</v>
      </c>
      <c r="AQ52" s="39" t="s">
        <v>49</v>
      </c>
      <c r="AV52" s="38">
        <f>AW52+AX52</f>
        <v>0</v>
      </c>
      <c r="AW52" s="38">
        <f>F52*AO52</f>
        <v>0</v>
      </c>
      <c r="AX52" s="38">
        <f>F52*AP52</f>
        <v>0</v>
      </c>
      <c r="AY52" s="39" t="s">
        <v>178</v>
      </c>
      <c r="AZ52" s="39" t="s">
        <v>179</v>
      </c>
      <c r="BA52" s="32" t="s">
        <v>55</v>
      </c>
      <c r="BC52" s="38">
        <f>AW52+AX52</f>
        <v>0</v>
      </c>
      <c r="BD52" s="38">
        <f>G52/(100-BE52)*100</f>
        <v>0</v>
      </c>
      <c r="BE52" s="38">
        <v>0</v>
      </c>
      <c r="BF52" s="38">
        <f>L52</f>
        <v>9.22928</v>
      </c>
      <c r="BH52" s="38">
        <f>F52*AO52</f>
        <v>0</v>
      </c>
      <c r="BI52" s="38">
        <f>F52*AP52</f>
        <v>0</v>
      </c>
      <c r="BJ52" s="38">
        <f>F52*G52</f>
        <v>0</v>
      </c>
    </row>
    <row r="53" spans="1:62" ht="12.75">
      <c r="A53" s="11" t="s">
        <v>180</v>
      </c>
      <c r="B53" s="11"/>
      <c r="C53" s="11" t="s">
        <v>181</v>
      </c>
      <c r="D53" s="11" t="s">
        <v>182</v>
      </c>
      <c r="E53" s="11" t="s">
        <v>61</v>
      </c>
      <c r="F53" s="38">
        <v>11</v>
      </c>
      <c r="G53" s="38"/>
      <c r="H53" s="38">
        <f>F53*AO53</f>
        <v>0</v>
      </c>
      <c r="I53" s="38">
        <f>F53*AP53</f>
        <v>0</v>
      </c>
      <c r="J53" s="38">
        <f>F53*G53</f>
        <v>0</v>
      </c>
      <c r="K53" s="38">
        <v>2.525</v>
      </c>
      <c r="L53" s="38">
        <f>F53*K53</f>
        <v>27.775</v>
      </c>
      <c r="M53" s="39"/>
      <c r="Z53" s="38">
        <f>IF(AQ53="5",BJ53,0)</f>
        <v>0</v>
      </c>
      <c r="AB53" s="38">
        <f>IF(AQ53="1",BH53,0)</f>
        <v>0</v>
      </c>
      <c r="AC53" s="38">
        <f>IF(AQ53="1",BI53,0)</f>
        <v>0</v>
      </c>
      <c r="AD53" s="38">
        <f>IF(AQ53="7",BH53,0)</f>
        <v>0</v>
      </c>
      <c r="AE53" s="38">
        <f>IF(AQ53="7",BI53,0)</f>
        <v>0</v>
      </c>
      <c r="AF53" s="38">
        <f>IF(AQ53="2",BH53,0)</f>
        <v>0</v>
      </c>
      <c r="AG53" s="38">
        <f>IF(AQ53="2",BI53,0)</f>
        <v>0</v>
      </c>
      <c r="AH53" s="38">
        <f>IF(AQ53="0",BJ53,0)</f>
        <v>0</v>
      </c>
      <c r="AI53" s="32"/>
      <c r="AJ53" s="38">
        <f>IF(AN53=0,J53,0)</f>
        <v>0</v>
      </c>
      <c r="AK53" s="38">
        <f>IF(AN53=15,J53,0)</f>
        <v>0</v>
      </c>
      <c r="AL53" s="38">
        <f>IF(AN53=21,J53,0)</f>
        <v>0</v>
      </c>
      <c r="AN53" s="38">
        <v>21</v>
      </c>
      <c r="AO53" s="38">
        <f>G53*0.771368559713091</f>
        <v>0</v>
      </c>
      <c r="AP53" s="38">
        <f>G53*(1-0.771368559713091)</f>
        <v>0</v>
      </c>
      <c r="AQ53" s="39" t="s">
        <v>49</v>
      </c>
      <c r="AV53" s="38">
        <f>AW53+AX53</f>
        <v>0</v>
      </c>
      <c r="AW53" s="38">
        <f>F53*AO53</f>
        <v>0</v>
      </c>
      <c r="AX53" s="38">
        <f>F53*AP53</f>
        <v>0</v>
      </c>
      <c r="AY53" s="39" t="s">
        <v>178</v>
      </c>
      <c r="AZ53" s="39" t="s">
        <v>179</v>
      </c>
      <c r="BA53" s="32" t="s">
        <v>55</v>
      </c>
      <c r="BC53" s="38">
        <f>AW53+AX53</f>
        <v>0</v>
      </c>
      <c r="BD53" s="38">
        <f>G53/(100-BE53)*100</f>
        <v>0</v>
      </c>
      <c r="BE53" s="38">
        <v>0</v>
      </c>
      <c r="BF53" s="38">
        <f>L53</f>
        <v>27.775</v>
      </c>
      <c r="BH53" s="38">
        <f>F53*AO53</f>
        <v>0</v>
      </c>
      <c r="BI53" s="38">
        <f>F53*AP53</f>
        <v>0</v>
      </c>
      <c r="BJ53" s="38">
        <f>F53*G53</f>
        <v>0</v>
      </c>
    </row>
    <row r="54" spans="1:47" ht="12.75">
      <c r="A54" s="40"/>
      <c r="B54" s="41"/>
      <c r="C54" s="41" t="s">
        <v>183</v>
      </c>
      <c r="D54" s="41" t="s">
        <v>184</v>
      </c>
      <c r="E54" s="40" t="s">
        <v>4</v>
      </c>
      <c r="F54" s="40" t="s">
        <v>4</v>
      </c>
      <c r="G54" s="40"/>
      <c r="H54" s="37">
        <f>SUM(H55:H56)</f>
        <v>0</v>
      </c>
      <c r="I54" s="37">
        <f>SUM(I55:I56)</f>
        <v>0</v>
      </c>
      <c r="J54" s="37">
        <f>SUM(J55:J56)</f>
        <v>0</v>
      </c>
      <c r="K54" s="32"/>
      <c r="L54" s="37">
        <f>SUM(L55:L56)</f>
        <v>46.2827</v>
      </c>
      <c r="M54" s="32"/>
      <c r="AI54" s="32"/>
      <c r="AS54" s="37">
        <f>SUM(AJ55:AJ56)</f>
        <v>0</v>
      </c>
      <c r="AT54" s="37">
        <f>SUM(AK55:AK56)</f>
        <v>0</v>
      </c>
      <c r="AU54" s="37">
        <f>SUM(AL55:AL56)</f>
        <v>0</v>
      </c>
    </row>
    <row r="55" spans="1:62" ht="12.75">
      <c r="A55" s="11" t="s">
        <v>185</v>
      </c>
      <c r="B55" s="11"/>
      <c r="C55" s="11" t="s">
        <v>186</v>
      </c>
      <c r="D55" s="11" t="s">
        <v>187</v>
      </c>
      <c r="E55" s="11" t="s">
        <v>61</v>
      </c>
      <c r="F55" s="38">
        <v>19</v>
      </c>
      <c r="G55" s="38"/>
      <c r="H55" s="38">
        <f>F55*AO55</f>
        <v>0</v>
      </c>
      <c r="I55" s="38">
        <f>F55*AP55</f>
        <v>0</v>
      </c>
      <c r="J55" s="38">
        <f>F55*G55</f>
        <v>0</v>
      </c>
      <c r="K55" s="38">
        <v>2</v>
      </c>
      <c r="L55" s="38">
        <f>F55*K55</f>
        <v>38</v>
      </c>
      <c r="M55" s="39"/>
      <c r="Z55" s="38">
        <f>IF(AQ55="5",BJ55,0)</f>
        <v>0</v>
      </c>
      <c r="AB55" s="38">
        <f>IF(AQ55="1",BH55,0)</f>
        <v>0</v>
      </c>
      <c r="AC55" s="38">
        <f>IF(AQ55="1",BI55,0)</f>
        <v>0</v>
      </c>
      <c r="AD55" s="38">
        <f>IF(AQ55="7",BH55,0)</f>
        <v>0</v>
      </c>
      <c r="AE55" s="38">
        <f>IF(AQ55="7",BI55,0)</f>
        <v>0</v>
      </c>
      <c r="AF55" s="38">
        <f>IF(AQ55="2",BH55,0)</f>
        <v>0</v>
      </c>
      <c r="AG55" s="38">
        <f>IF(AQ55="2",BI55,0)</f>
        <v>0</v>
      </c>
      <c r="AH55" s="38">
        <f>IF(AQ55="0",BJ55,0)</f>
        <v>0</v>
      </c>
      <c r="AI55" s="32"/>
      <c r="AJ55" s="38">
        <f>IF(AN55=0,J55,0)</f>
        <v>0</v>
      </c>
      <c r="AK55" s="38">
        <f>IF(AN55=15,J55,0)</f>
        <v>0</v>
      </c>
      <c r="AL55" s="38">
        <f>IF(AN55=21,J55,0)</f>
        <v>0</v>
      </c>
      <c r="AN55" s="38">
        <v>21</v>
      </c>
      <c r="AO55" s="38">
        <f>G55*0</f>
        <v>0</v>
      </c>
      <c r="AP55" s="38">
        <f>G55*(1-0)</f>
        <v>0</v>
      </c>
      <c r="AQ55" s="39" t="s">
        <v>49</v>
      </c>
      <c r="AV55" s="38">
        <f>AW55+AX55</f>
        <v>0</v>
      </c>
      <c r="AW55" s="38">
        <f>F55*AO55</f>
        <v>0</v>
      </c>
      <c r="AX55" s="38">
        <f>F55*AP55</f>
        <v>0</v>
      </c>
      <c r="AY55" s="39" t="s">
        <v>188</v>
      </c>
      <c r="AZ55" s="39" t="s">
        <v>179</v>
      </c>
      <c r="BA55" s="32" t="s">
        <v>55</v>
      </c>
      <c r="BC55" s="38">
        <f>AW55+AX55</f>
        <v>0</v>
      </c>
      <c r="BD55" s="38">
        <f>G55/(100-BE55)*100</f>
        <v>0</v>
      </c>
      <c r="BE55" s="38">
        <v>0</v>
      </c>
      <c r="BF55" s="38">
        <f>L55</f>
        <v>38</v>
      </c>
      <c r="BH55" s="38">
        <f>F55*AO55</f>
        <v>0</v>
      </c>
      <c r="BI55" s="38">
        <f>F55*AP55</f>
        <v>0</v>
      </c>
      <c r="BJ55" s="38">
        <f>F55*G55</f>
        <v>0</v>
      </c>
    </row>
    <row r="56" spans="1:62" ht="12.75">
      <c r="A56" s="11" t="s">
        <v>189</v>
      </c>
      <c r="B56" s="11"/>
      <c r="C56" s="11" t="s">
        <v>190</v>
      </c>
      <c r="D56" s="11" t="s">
        <v>191</v>
      </c>
      <c r="E56" s="11" t="s">
        <v>114</v>
      </c>
      <c r="F56" s="38">
        <v>45</v>
      </c>
      <c r="G56" s="38"/>
      <c r="H56" s="38">
        <f>F56*AO56</f>
        <v>0</v>
      </c>
      <c r="I56" s="38">
        <f>F56*AP56</f>
        <v>0</v>
      </c>
      <c r="J56" s="38">
        <f>F56*G56</f>
        <v>0</v>
      </c>
      <c r="K56" s="38">
        <v>0.18406</v>
      </c>
      <c r="L56" s="38">
        <f>F56*K56</f>
        <v>8.2827</v>
      </c>
      <c r="M56" s="39"/>
      <c r="Z56" s="38">
        <f>IF(AQ56="5",BJ56,0)</f>
        <v>0</v>
      </c>
      <c r="AB56" s="38">
        <f>IF(AQ56="1",BH56,0)</f>
        <v>0</v>
      </c>
      <c r="AC56" s="38">
        <f>IF(AQ56="1",BI56,0)</f>
        <v>0</v>
      </c>
      <c r="AD56" s="38">
        <f>IF(AQ56="7",BH56,0)</f>
        <v>0</v>
      </c>
      <c r="AE56" s="38">
        <f>IF(AQ56="7",BI56,0)</f>
        <v>0</v>
      </c>
      <c r="AF56" s="38">
        <f>IF(AQ56="2",BH56,0)</f>
        <v>0</v>
      </c>
      <c r="AG56" s="38">
        <f>IF(AQ56="2",BI56,0)</f>
        <v>0</v>
      </c>
      <c r="AH56" s="38">
        <f>IF(AQ56="0",BJ56,0)</f>
        <v>0</v>
      </c>
      <c r="AI56" s="32"/>
      <c r="AJ56" s="38">
        <f>IF(AN56=0,J56,0)</f>
        <v>0</v>
      </c>
      <c r="AK56" s="38">
        <f>IF(AN56=15,J56,0)</f>
        <v>0</v>
      </c>
      <c r="AL56" s="38">
        <f>IF(AN56=21,J56,0)</f>
        <v>0</v>
      </c>
      <c r="AN56" s="38">
        <v>21</v>
      </c>
      <c r="AO56" s="38">
        <f>G56*0.0493283582089552</f>
        <v>0</v>
      </c>
      <c r="AP56" s="38">
        <f>G56*(1-0.0493283582089552)</f>
        <v>0</v>
      </c>
      <c r="AQ56" s="39" t="s">
        <v>49</v>
      </c>
      <c r="AV56" s="38">
        <f>AW56+AX56</f>
        <v>0</v>
      </c>
      <c r="AW56" s="38">
        <f>F56*AO56</f>
        <v>0</v>
      </c>
      <c r="AX56" s="38">
        <f>F56*AP56</f>
        <v>0</v>
      </c>
      <c r="AY56" s="39" t="s">
        <v>188</v>
      </c>
      <c r="AZ56" s="39" t="s">
        <v>179</v>
      </c>
      <c r="BA56" s="32" t="s">
        <v>55</v>
      </c>
      <c r="BC56" s="38">
        <f>AW56+AX56</f>
        <v>0</v>
      </c>
      <c r="BD56" s="38">
        <f>G56/(100-BE56)*100</f>
        <v>0</v>
      </c>
      <c r="BE56" s="38">
        <v>0</v>
      </c>
      <c r="BF56" s="38">
        <f>L56</f>
        <v>8.2827</v>
      </c>
      <c r="BH56" s="38">
        <f>F56*AO56</f>
        <v>0</v>
      </c>
      <c r="BI56" s="38">
        <f>F56*AP56</f>
        <v>0</v>
      </c>
      <c r="BJ56" s="38">
        <f>F56*G56</f>
        <v>0</v>
      </c>
    </row>
    <row r="57" spans="1:47" ht="12.75">
      <c r="A57" s="40"/>
      <c r="B57" s="41"/>
      <c r="C57" s="41" t="s">
        <v>192</v>
      </c>
      <c r="D57" s="41" t="s">
        <v>193</v>
      </c>
      <c r="E57" s="40" t="s">
        <v>4</v>
      </c>
      <c r="F57" s="40" t="s">
        <v>4</v>
      </c>
      <c r="G57" s="40"/>
      <c r="H57" s="37">
        <f>SUM(H58:H58)</f>
        <v>0</v>
      </c>
      <c r="I57" s="37">
        <f>SUM(I58:I58)</f>
        <v>0</v>
      </c>
      <c r="J57" s="37">
        <f>SUM(J58:J58)</f>
        <v>0</v>
      </c>
      <c r="K57" s="32"/>
      <c r="L57" s="37">
        <f>SUM(L58:L58)</f>
        <v>46.637499999999996</v>
      </c>
      <c r="M57" s="32"/>
      <c r="AI57" s="32"/>
      <c r="AS57" s="37">
        <f>SUM(AJ58:AJ58)</f>
        <v>0</v>
      </c>
      <c r="AT57" s="37">
        <f>SUM(AK58:AK58)</f>
        <v>0</v>
      </c>
      <c r="AU57" s="37">
        <f>SUM(AL58:AL58)</f>
        <v>0</v>
      </c>
    </row>
    <row r="58" spans="1:62" ht="12.75">
      <c r="A58" s="11" t="s">
        <v>194</v>
      </c>
      <c r="B58" s="11"/>
      <c r="C58" s="11" t="s">
        <v>195</v>
      </c>
      <c r="D58" s="11" t="s">
        <v>196</v>
      </c>
      <c r="E58" s="11" t="s">
        <v>114</v>
      </c>
      <c r="F58" s="38">
        <v>8750</v>
      </c>
      <c r="G58" s="38"/>
      <c r="H58" s="38">
        <f>F58*AO58</f>
        <v>0</v>
      </c>
      <c r="I58" s="38">
        <f>F58*AP58</f>
        <v>0</v>
      </c>
      <c r="J58" s="38">
        <f>F58*G58</f>
        <v>0</v>
      </c>
      <c r="K58" s="38">
        <v>0.00533</v>
      </c>
      <c r="L58" s="38">
        <f>F58*K58</f>
        <v>46.637499999999996</v>
      </c>
      <c r="M58" s="39"/>
      <c r="Z58" s="38">
        <f>IF(AQ58="5",BJ58,0)</f>
        <v>0</v>
      </c>
      <c r="AB58" s="38">
        <f>IF(AQ58="1",BH58,0)</f>
        <v>0</v>
      </c>
      <c r="AC58" s="38">
        <f>IF(AQ58="1",BI58,0)</f>
        <v>0</v>
      </c>
      <c r="AD58" s="38">
        <f>IF(AQ58="7",BH58,0)</f>
        <v>0</v>
      </c>
      <c r="AE58" s="38">
        <f>IF(AQ58="7",BI58,0)</f>
        <v>0</v>
      </c>
      <c r="AF58" s="38">
        <f>IF(AQ58="2",BH58,0)</f>
        <v>0</v>
      </c>
      <c r="AG58" s="38">
        <f>IF(AQ58="2",BI58,0)</f>
        <v>0</v>
      </c>
      <c r="AH58" s="38">
        <f>IF(AQ58="0",BJ58,0)</f>
        <v>0</v>
      </c>
      <c r="AI58" s="32"/>
      <c r="AJ58" s="38">
        <f>IF(AN58=0,J58,0)</f>
        <v>0</v>
      </c>
      <c r="AK58" s="38">
        <f>IF(AN58=15,J58,0)</f>
        <v>0</v>
      </c>
      <c r="AL58" s="38">
        <f>IF(AN58=21,J58,0)</f>
        <v>0</v>
      </c>
      <c r="AN58" s="38">
        <v>21</v>
      </c>
      <c r="AO58" s="38">
        <f>G58*0.258</f>
        <v>0</v>
      </c>
      <c r="AP58" s="38">
        <f>G58*(1-0.258)</f>
        <v>0</v>
      </c>
      <c r="AQ58" s="39" t="s">
        <v>49</v>
      </c>
      <c r="AV58" s="38">
        <f>AW58+AX58</f>
        <v>0</v>
      </c>
      <c r="AW58" s="38">
        <f>F58*AO58</f>
        <v>0</v>
      </c>
      <c r="AX58" s="38">
        <f>F58*AP58</f>
        <v>0</v>
      </c>
      <c r="AY58" s="39" t="s">
        <v>197</v>
      </c>
      <c r="AZ58" s="39" t="s">
        <v>179</v>
      </c>
      <c r="BA58" s="32" t="s">
        <v>55</v>
      </c>
      <c r="BC58" s="38">
        <f>AW58+AX58</f>
        <v>0</v>
      </c>
      <c r="BD58" s="38">
        <f>G58/(100-BE58)*100</f>
        <v>0</v>
      </c>
      <c r="BE58" s="38">
        <v>0</v>
      </c>
      <c r="BF58" s="38">
        <f>L58</f>
        <v>46.637499999999996</v>
      </c>
      <c r="BH58" s="38">
        <f>F58*AO58</f>
        <v>0</v>
      </c>
      <c r="BI58" s="38">
        <f>F58*AP58</f>
        <v>0</v>
      </c>
      <c r="BJ58" s="38">
        <f>F58*G58</f>
        <v>0</v>
      </c>
    </row>
    <row r="59" spans="1:47" ht="12.75">
      <c r="A59" s="40"/>
      <c r="B59" s="41"/>
      <c r="C59" s="41"/>
      <c r="D59" s="41" t="s">
        <v>198</v>
      </c>
      <c r="E59" s="40" t="s">
        <v>4</v>
      </c>
      <c r="F59" s="40" t="s">
        <v>4</v>
      </c>
      <c r="G59" s="40"/>
      <c r="H59" s="37">
        <f>SUM(H60:H61)</f>
        <v>0</v>
      </c>
      <c r="I59" s="37">
        <f>SUM(I60:I61)</f>
        <v>0</v>
      </c>
      <c r="J59" s="37">
        <f>SUM(J60:J61)</f>
        <v>0</v>
      </c>
      <c r="K59" s="32"/>
      <c r="L59" s="37">
        <f>SUM(L60:L61)</f>
        <v>2.747</v>
      </c>
      <c r="M59" s="32"/>
      <c r="AI59" s="32"/>
      <c r="AS59" s="37">
        <f>SUM(AJ60:AJ61)</f>
        <v>0</v>
      </c>
      <c r="AT59" s="37">
        <f>SUM(AK60:AK61)</f>
        <v>0</v>
      </c>
      <c r="AU59" s="37">
        <f>SUM(AL60:AL61)</f>
        <v>0</v>
      </c>
    </row>
    <row r="60" spans="1:62" ht="12.75">
      <c r="A60" s="11" t="s">
        <v>199</v>
      </c>
      <c r="B60" s="11"/>
      <c r="C60" s="11" t="s">
        <v>200</v>
      </c>
      <c r="D60" s="11" t="s">
        <v>201</v>
      </c>
      <c r="E60" s="11" t="s">
        <v>61</v>
      </c>
      <c r="F60" s="38">
        <v>2.9</v>
      </c>
      <c r="G60" s="38"/>
      <c r="H60" s="38">
        <f>F60*AO60</f>
        <v>0</v>
      </c>
      <c r="I60" s="38">
        <f>F60*AP60</f>
        <v>0</v>
      </c>
      <c r="J60" s="38">
        <f>F60*G60</f>
        <v>0</v>
      </c>
      <c r="K60" s="38">
        <v>0.55</v>
      </c>
      <c r="L60" s="38">
        <f>F60*K60</f>
        <v>1.595</v>
      </c>
      <c r="M60" s="39"/>
      <c r="Z60" s="38">
        <f>IF(AQ60="5",BJ60,0)</f>
        <v>0</v>
      </c>
      <c r="AB60" s="38">
        <f>IF(AQ60="1",BH60,0)</f>
        <v>0</v>
      </c>
      <c r="AC60" s="38">
        <f>IF(AQ60="1",BI60,0)</f>
        <v>0</v>
      </c>
      <c r="AD60" s="38">
        <f>IF(AQ60="7",BH60,0)</f>
        <v>0</v>
      </c>
      <c r="AE60" s="38">
        <f>IF(AQ60="7",BI60,0)</f>
        <v>0</v>
      </c>
      <c r="AF60" s="38">
        <f>IF(AQ60="2",BH60,0)</f>
        <v>0</v>
      </c>
      <c r="AG60" s="38">
        <f>IF(AQ60="2",BI60,0)</f>
        <v>0</v>
      </c>
      <c r="AH60" s="38">
        <f>IF(AQ60="0",BJ60,0)</f>
        <v>0</v>
      </c>
      <c r="AI60" s="32"/>
      <c r="AJ60" s="38">
        <f>IF(AN60=0,J60,0)</f>
        <v>0</v>
      </c>
      <c r="AK60" s="38">
        <f>IF(AN60=15,J60,0)</f>
        <v>0</v>
      </c>
      <c r="AL60" s="38">
        <f>IF(AN60=21,J60,0)</f>
        <v>0</v>
      </c>
      <c r="AN60" s="38">
        <v>21</v>
      </c>
      <c r="AO60" s="38">
        <f>G60*1</f>
        <v>0</v>
      </c>
      <c r="AP60" s="38">
        <f>G60*(1-1)</f>
        <v>0</v>
      </c>
      <c r="AQ60" s="39" t="s">
        <v>202</v>
      </c>
      <c r="AV60" s="38">
        <f>AW60+AX60</f>
        <v>0</v>
      </c>
      <c r="AW60" s="38">
        <f>F60*AO60</f>
        <v>0</v>
      </c>
      <c r="AX60" s="38">
        <f>F60*AP60</f>
        <v>0</v>
      </c>
      <c r="AY60" s="39" t="s">
        <v>203</v>
      </c>
      <c r="AZ60" s="39" t="s">
        <v>204</v>
      </c>
      <c r="BA60" s="32" t="s">
        <v>55</v>
      </c>
      <c r="BC60" s="38">
        <f>AW60+AX60</f>
        <v>0</v>
      </c>
      <c r="BD60" s="38">
        <f>G60/(100-BE60)*100</f>
        <v>0</v>
      </c>
      <c r="BE60" s="38">
        <v>0</v>
      </c>
      <c r="BF60" s="38">
        <f>L60</f>
        <v>1.595</v>
      </c>
      <c r="BH60" s="38">
        <f>F60*AO60</f>
        <v>0</v>
      </c>
      <c r="BI60" s="38">
        <f>F60*AP60</f>
        <v>0</v>
      </c>
      <c r="BJ60" s="38">
        <f>F60*G60</f>
        <v>0</v>
      </c>
    </row>
    <row r="61" spans="1:62" ht="12.75">
      <c r="A61" s="42" t="s">
        <v>205</v>
      </c>
      <c r="B61" s="42"/>
      <c r="C61" s="42" t="s">
        <v>206</v>
      </c>
      <c r="D61" s="42" t="s">
        <v>207</v>
      </c>
      <c r="E61" s="42" t="s">
        <v>83</v>
      </c>
      <c r="F61" s="43">
        <v>1.152</v>
      </c>
      <c r="G61" s="43"/>
      <c r="H61" s="43">
        <f>F61*AO61</f>
        <v>0</v>
      </c>
      <c r="I61" s="43">
        <f>F61*AP61</f>
        <v>0</v>
      </c>
      <c r="J61" s="43">
        <f>F61*G61</f>
        <v>0</v>
      </c>
      <c r="K61" s="43">
        <v>1</v>
      </c>
      <c r="L61" s="43">
        <f>F61*K61</f>
        <v>1.152</v>
      </c>
      <c r="M61" s="44"/>
      <c r="Z61" s="38">
        <f>IF(AQ61="5",BJ61,0)</f>
        <v>0</v>
      </c>
      <c r="AB61" s="38">
        <f>IF(AQ61="1",BH61,0)</f>
        <v>0</v>
      </c>
      <c r="AC61" s="38">
        <f>IF(AQ61="1",BI61,0)</f>
        <v>0</v>
      </c>
      <c r="AD61" s="38">
        <f>IF(AQ61="7",BH61,0)</f>
        <v>0</v>
      </c>
      <c r="AE61" s="38">
        <f>IF(AQ61="7",BI61,0)</f>
        <v>0</v>
      </c>
      <c r="AF61" s="38">
        <f>IF(AQ61="2",BH61,0)</f>
        <v>0</v>
      </c>
      <c r="AG61" s="38">
        <f>IF(AQ61="2",BI61,0)</f>
        <v>0</v>
      </c>
      <c r="AH61" s="38">
        <f>IF(AQ61="0",BJ61,0)</f>
        <v>0</v>
      </c>
      <c r="AI61" s="32"/>
      <c r="AJ61" s="38">
        <f>IF(AN61=0,J61,0)</f>
        <v>0</v>
      </c>
      <c r="AK61" s="38">
        <f>IF(AN61=15,J61,0)</f>
        <v>0</v>
      </c>
      <c r="AL61" s="38">
        <f>IF(AN61=21,J61,0)</f>
        <v>0</v>
      </c>
      <c r="AN61" s="38">
        <v>21</v>
      </c>
      <c r="AO61" s="38">
        <f>G61*1</f>
        <v>0</v>
      </c>
      <c r="AP61" s="38">
        <f>G61*(1-1)</f>
        <v>0</v>
      </c>
      <c r="AQ61" s="39" t="s">
        <v>202</v>
      </c>
      <c r="AV61" s="38">
        <f>AW61+AX61</f>
        <v>0</v>
      </c>
      <c r="AW61" s="38">
        <f>F61*AO61</f>
        <v>0</v>
      </c>
      <c r="AX61" s="38">
        <f>F61*AP61</f>
        <v>0</v>
      </c>
      <c r="AY61" s="39" t="s">
        <v>203</v>
      </c>
      <c r="AZ61" s="39" t="s">
        <v>204</v>
      </c>
      <c r="BA61" s="32" t="s">
        <v>55</v>
      </c>
      <c r="BC61" s="38">
        <f>AW61+AX61</f>
        <v>0</v>
      </c>
      <c r="BD61" s="38">
        <f>G61/(100-BE61)*100</f>
        <v>0</v>
      </c>
      <c r="BE61" s="38">
        <v>0</v>
      </c>
      <c r="BF61" s="38">
        <f>L61</f>
        <v>1.152</v>
      </c>
      <c r="BH61" s="38">
        <f>F61*AO61</f>
        <v>0</v>
      </c>
      <c r="BI61" s="38">
        <f>F61*AP61</f>
        <v>0</v>
      </c>
      <c r="BJ61" s="38">
        <f>F61*G61</f>
        <v>0</v>
      </c>
    </row>
    <row r="62" spans="1:13" ht="12.75">
      <c r="A62" s="45"/>
      <c r="B62" s="45"/>
      <c r="C62" s="45"/>
      <c r="D62" s="45"/>
      <c r="E62" s="45"/>
      <c r="F62" s="45"/>
      <c r="G62" s="45"/>
      <c r="H62" s="46" t="s">
        <v>208</v>
      </c>
      <c r="I62" s="46"/>
      <c r="J62" s="47"/>
      <c r="K62" s="45"/>
      <c r="L62" s="45"/>
      <c r="M62" s="45"/>
    </row>
    <row r="63" ht="11.25" customHeight="1">
      <c r="A63" s="48" t="s">
        <v>209</v>
      </c>
    </row>
    <row r="64" spans="1:13" ht="12.75" customHeight="1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</row>
  </sheetData>
  <sheetProtection selectLockedCells="1" selectUnlockedCells="1"/>
  <mergeCells count="29">
    <mergeCell ref="A1:M1"/>
    <mergeCell ref="A2:C3"/>
    <mergeCell ref="D2:D3"/>
    <mergeCell ref="E2:F3"/>
    <mergeCell ref="G2:G3"/>
    <mergeCell ref="H2:H3"/>
    <mergeCell ref="I2:M3"/>
    <mergeCell ref="A4:C5"/>
    <mergeCell ref="D4:D5"/>
    <mergeCell ref="E4:F5"/>
    <mergeCell ref="G4:G5"/>
    <mergeCell ref="H4:H5"/>
    <mergeCell ref="I4:M5"/>
    <mergeCell ref="A6:C7"/>
    <mergeCell ref="D6:D7"/>
    <mergeCell ref="E6:F7"/>
    <mergeCell ref="G6:G7"/>
    <mergeCell ref="H6:H7"/>
    <mergeCell ref="I6:M7"/>
    <mergeCell ref="A8:C9"/>
    <mergeCell ref="D8:D9"/>
    <mergeCell ref="E8:F9"/>
    <mergeCell ref="G8:G9"/>
    <mergeCell ref="H8:H9"/>
    <mergeCell ref="I8:M9"/>
    <mergeCell ref="H10:J10"/>
    <mergeCell ref="K10:L10"/>
    <mergeCell ref="H62:I62"/>
    <mergeCell ref="A64:M64"/>
  </mergeCells>
  <printOptions/>
  <pageMargins left="0.39375" right="0.39375" top="0.5909722222222222" bottom="0.5909722222222222" header="0.5118055555555555" footer="0.5118055555555555"/>
  <pageSetup fitToHeight="0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"/>
  <sheetViews>
    <sheetView tabSelected="1" workbookViewId="0" topLeftCell="A1">
      <selection activeCell="B1" sqref="B1"/>
    </sheetView>
  </sheetViews>
  <sheetFormatPr defaultColWidth="11.421875" defaultRowHeight="12.75"/>
  <cols>
    <col min="1" max="1" width="9.140625" style="1" customWidth="1"/>
    <col min="2" max="2" width="12.8515625" style="1" customWidth="1"/>
    <col min="3" max="3" width="22.8515625" style="1" customWidth="1"/>
    <col min="4" max="4" width="10.00390625" style="1" customWidth="1"/>
    <col min="5" max="5" width="14.00390625" style="1" customWidth="1"/>
    <col min="6" max="6" width="22.8515625" style="1" customWidth="1"/>
    <col min="7" max="7" width="9.140625" style="1" customWidth="1"/>
    <col min="8" max="8" width="12.8515625" style="1" customWidth="1"/>
    <col min="9" max="9" width="22.8515625" style="1" customWidth="1"/>
    <col min="10" max="16384" width="11.57421875" style="0" customWidth="1"/>
  </cols>
  <sheetData>
    <row r="1" spans="1:9" ht="72.75" customHeight="1">
      <c r="A1" s="49"/>
      <c r="B1" s="50"/>
      <c r="C1" s="51" t="s">
        <v>210</v>
      </c>
      <c r="D1" s="51"/>
      <c r="E1" s="51"/>
      <c r="F1" s="51"/>
      <c r="G1" s="51"/>
      <c r="H1" s="51"/>
      <c r="I1" s="51"/>
    </row>
    <row r="2" spans="1:10" ht="12.75" customHeight="1">
      <c r="A2" s="3" t="s">
        <v>1</v>
      </c>
      <c r="B2" s="3"/>
      <c r="C2" s="4" t="str">
        <f>'Stavební rozpočet'!D2</f>
        <v>Obnova víceúčelového školního hřiště v obci Pňovice</v>
      </c>
      <c r="D2" s="4"/>
      <c r="E2" s="6" t="s">
        <v>5</v>
      </c>
      <c r="F2" s="6" t="str">
        <f>'Stavební rozpočet'!I2</f>
        <v>Obec Pňovice, Pňovice 187</v>
      </c>
      <c r="G2" s="6"/>
      <c r="H2" s="6" t="s">
        <v>211</v>
      </c>
      <c r="I2" s="52" t="s">
        <v>212</v>
      </c>
      <c r="J2" s="8"/>
    </row>
    <row r="3" spans="1:10" ht="12.75">
      <c r="A3" s="3"/>
      <c r="B3" s="3"/>
      <c r="C3" s="4"/>
      <c r="D3" s="4"/>
      <c r="E3" s="6"/>
      <c r="F3" s="6"/>
      <c r="G3" s="6"/>
      <c r="H3" s="6"/>
      <c r="I3" s="52"/>
      <c r="J3" s="8"/>
    </row>
    <row r="4" spans="1:10" ht="12.75" customHeight="1">
      <c r="A4" s="9" t="s">
        <v>7</v>
      </c>
      <c r="B4" s="9"/>
      <c r="C4" s="10">
        <f>'Stavební rozpočet'!D4</f>
        <v>0</v>
      </c>
      <c r="D4" s="10"/>
      <c r="E4" s="10" t="s">
        <v>10</v>
      </c>
      <c r="F4" s="10" t="s">
        <v>11</v>
      </c>
      <c r="G4" s="10"/>
      <c r="H4" s="10" t="s">
        <v>211</v>
      </c>
      <c r="I4" s="53"/>
      <c r="J4" s="8"/>
    </row>
    <row r="5" spans="1:10" ht="12.75">
      <c r="A5" s="9"/>
      <c r="B5" s="9"/>
      <c r="C5" s="10"/>
      <c r="D5" s="10"/>
      <c r="E5" s="10"/>
      <c r="F5" s="10"/>
      <c r="G5" s="10"/>
      <c r="H5" s="10"/>
      <c r="I5" s="53"/>
      <c r="J5" s="8"/>
    </row>
    <row r="6" spans="1:10" ht="12.75" customHeight="1">
      <c r="A6" s="9" t="s">
        <v>12</v>
      </c>
      <c r="B6" s="9"/>
      <c r="C6" s="10" t="str">
        <f>'Stavební rozpočet'!D6</f>
        <v>Pňovice</v>
      </c>
      <c r="D6" s="10"/>
      <c r="E6" s="10" t="s">
        <v>15</v>
      </c>
      <c r="F6" s="10">
        <f>'Stavební rozpočet'!I6</f>
        <v>0</v>
      </c>
      <c r="G6" s="10"/>
      <c r="H6" s="10" t="s">
        <v>211</v>
      </c>
      <c r="I6" s="53"/>
      <c r="J6" s="8"/>
    </row>
    <row r="7" spans="1:10" ht="12.75">
      <c r="A7" s="9"/>
      <c r="B7" s="9"/>
      <c r="C7" s="10"/>
      <c r="D7" s="10"/>
      <c r="E7" s="10"/>
      <c r="F7" s="10"/>
      <c r="G7" s="10"/>
      <c r="H7" s="10"/>
      <c r="I7" s="53"/>
      <c r="J7" s="8"/>
    </row>
    <row r="8" spans="1:10" ht="12.75" customHeight="1">
      <c r="A8" s="9" t="s">
        <v>8</v>
      </c>
      <c r="B8" s="9"/>
      <c r="C8" s="10" t="str">
        <f>'Stavební rozpočet'!G4</f>
        <v> </v>
      </c>
      <c r="D8" s="10"/>
      <c r="E8" s="10" t="s">
        <v>14</v>
      </c>
      <c r="F8" s="10" t="str">
        <f>'Stavební rozpočet'!G6</f>
        <v> </v>
      </c>
      <c r="G8" s="10"/>
      <c r="H8" s="11" t="s">
        <v>213</v>
      </c>
      <c r="I8" s="53" t="s">
        <v>205</v>
      </c>
      <c r="J8" s="8"/>
    </row>
    <row r="9" spans="1:10" ht="12.75">
      <c r="A9" s="9"/>
      <c r="B9" s="9"/>
      <c r="C9" s="10"/>
      <c r="D9" s="10"/>
      <c r="E9" s="10"/>
      <c r="F9" s="10"/>
      <c r="G9" s="10"/>
      <c r="H9" s="11"/>
      <c r="I9" s="53"/>
      <c r="J9" s="8"/>
    </row>
    <row r="10" spans="1:10" ht="12.75" customHeight="1">
      <c r="A10" s="54" t="s">
        <v>16</v>
      </c>
      <c r="B10" s="54"/>
      <c r="C10" s="55">
        <f>'Stavební rozpočet'!D8</f>
        <v>0</v>
      </c>
      <c r="D10" s="55"/>
      <c r="E10" s="55" t="s">
        <v>19</v>
      </c>
      <c r="F10" s="55" t="str">
        <f>'Stavební rozpočet'!I8</f>
        <v>Ing.Ruprecht</v>
      </c>
      <c r="G10" s="55"/>
      <c r="H10" s="42" t="s">
        <v>214</v>
      </c>
      <c r="I10" s="56" t="str">
        <f>'Stavební rozpočet'!G8</f>
        <v>19.01.2020</v>
      </c>
      <c r="J10" s="8"/>
    </row>
    <row r="11" spans="1:10" ht="12.75">
      <c r="A11" s="54"/>
      <c r="B11" s="54"/>
      <c r="C11" s="55"/>
      <c r="D11" s="55"/>
      <c r="E11" s="55"/>
      <c r="F11" s="55"/>
      <c r="G11" s="55"/>
      <c r="H11" s="42"/>
      <c r="I11" s="56"/>
      <c r="J11" s="8"/>
    </row>
    <row r="12" spans="1:9" ht="23.25" customHeight="1">
      <c r="A12" s="57" t="s">
        <v>215</v>
      </c>
      <c r="B12" s="57"/>
      <c r="C12" s="57"/>
      <c r="D12" s="57"/>
      <c r="E12" s="57"/>
      <c r="F12" s="57"/>
      <c r="G12" s="57"/>
      <c r="H12" s="57"/>
      <c r="I12" s="57"/>
    </row>
    <row r="13" spans="1:10" ht="26.25" customHeight="1">
      <c r="A13" s="58" t="s">
        <v>216</v>
      </c>
      <c r="B13" s="59" t="s">
        <v>217</v>
      </c>
      <c r="C13" s="59"/>
      <c r="D13" s="58" t="s">
        <v>218</v>
      </c>
      <c r="E13" s="59" t="s">
        <v>219</v>
      </c>
      <c r="F13" s="59"/>
      <c r="G13" s="58" t="s">
        <v>220</v>
      </c>
      <c r="H13" s="59" t="s">
        <v>221</v>
      </c>
      <c r="I13" s="59"/>
      <c r="J13" s="8"/>
    </row>
    <row r="14" spans="1:10" ht="15" customHeight="1">
      <c r="A14" s="60" t="s">
        <v>222</v>
      </c>
      <c r="B14" s="61" t="s">
        <v>223</v>
      </c>
      <c r="C14" s="62">
        <f>SUM('Stavební rozpočet'!AB12:AB61)</f>
        <v>0</v>
      </c>
      <c r="D14" s="61" t="s">
        <v>224</v>
      </c>
      <c r="E14" s="61"/>
      <c r="F14" s="62">
        <v>0</v>
      </c>
      <c r="G14" s="61" t="s">
        <v>225</v>
      </c>
      <c r="H14" s="61"/>
      <c r="I14" s="62">
        <f>ROUND(C22*(3.6/100),2)</f>
        <v>0</v>
      </c>
      <c r="J14" s="8"/>
    </row>
    <row r="15" spans="1:10" ht="15" customHeight="1">
      <c r="A15" s="63"/>
      <c r="B15" s="61" t="s">
        <v>33</v>
      </c>
      <c r="C15" s="62">
        <f>SUM('Stavební rozpočet'!AC12:AC61)</f>
        <v>0</v>
      </c>
      <c r="D15" s="61" t="s">
        <v>226</v>
      </c>
      <c r="E15" s="61"/>
      <c r="F15" s="62">
        <v>0</v>
      </c>
      <c r="G15" s="61" t="s">
        <v>227</v>
      </c>
      <c r="H15" s="61"/>
      <c r="I15" s="62">
        <v>0</v>
      </c>
      <c r="J15" s="8"/>
    </row>
    <row r="16" spans="1:10" ht="15" customHeight="1">
      <c r="A16" s="60" t="s">
        <v>228</v>
      </c>
      <c r="B16" s="61" t="s">
        <v>223</v>
      </c>
      <c r="C16" s="62">
        <f>SUM('Stavební rozpočet'!AD12:AD61)</f>
        <v>0</v>
      </c>
      <c r="D16" s="61" t="s">
        <v>229</v>
      </c>
      <c r="E16" s="61"/>
      <c r="F16" s="62">
        <v>0</v>
      </c>
      <c r="G16" s="61" t="s">
        <v>230</v>
      </c>
      <c r="H16" s="61"/>
      <c r="I16" s="62">
        <v>0</v>
      </c>
      <c r="J16" s="8"/>
    </row>
    <row r="17" spans="1:10" ht="15" customHeight="1">
      <c r="A17" s="63"/>
      <c r="B17" s="61" t="s">
        <v>33</v>
      </c>
      <c r="C17" s="62">
        <f>SUM('Stavební rozpočet'!AE12:AE61)</f>
        <v>0</v>
      </c>
      <c r="D17" s="61"/>
      <c r="E17" s="61"/>
      <c r="F17" s="64"/>
      <c r="G17" s="61" t="s">
        <v>231</v>
      </c>
      <c r="H17" s="61"/>
      <c r="I17" s="62">
        <v>0</v>
      </c>
      <c r="J17" s="8"/>
    </row>
    <row r="18" spans="1:10" ht="15" customHeight="1">
      <c r="A18" s="60" t="s">
        <v>232</v>
      </c>
      <c r="B18" s="61" t="s">
        <v>223</v>
      </c>
      <c r="C18" s="62">
        <f>SUM('Stavební rozpočet'!AF12:AF61)</f>
        <v>0</v>
      </c>
      <c r="D18" s="61"/>
      <c r="E18" s="61"/>
      <c r="F18" s="64"/>
      <c r="G18" s="61" t="s">
        <v>233</v>
      </c>
      <c r="H18" s="61"/>
      <c r="I18" s="62">
        <v>0</v>
      </c>
      <c r="J18" s="8"/>
    </row>
    <row r="19" spans="1:10" ht="15" customHeight="1">
      <c r="A19" s="63"/>
      <c r="B19" s="61" t="s">
        <v>33</v>
      </c>
      <c r="C19" s="62">
        <f>SUM('Stavební rozpočet'!AG12:AG61)</f>
        <v>0</v>
      </c>
      <c r="D19" s="61"/>
      <c r="E19" s="61"/>
      <c r="F19" s="64"/>
      <c r="G19" s="61" t="s">
        <v>234</v>
      </c>
      <c r="H19" s="61"/>
      <c r="I19" s="62">
        <v>0</v>
      </c>
      <c r="J19" s="8"/>
    </row>
    <row r="20" spans="1:10" ht="15" customHeight="1">
      <c r="A20" s="65" t="s">
        <v>198</v>
      </c>
      <c r="B20" s="65"/>
      <c r="C20" s="62">
        <f>SUM('Stavební rozpočet'!AH12:AH61)</f>
        <v>0</v>
      </c>
      <c r="D20" s="61"/>
      <c r="E20" s="61"/>
      <c r="F20" s="64"/>
      <c r="G20" s="61"/>
      <c r="H20" s="61"/>
      <c r="I20" s="64"/>
      <c r="J20" s="8"/>
    </row>
    <row r="21" spans="1:10" ht="15" customHeight="1">
      <c r="A21" s="65" t="s">
        <v>235</v>
      </c>
      <c r="B21" s="65"/>
      <c r="C21" s="62">
        <f>SUM('Stavební rozpočet'!Z12:Z61)</f>
        <v>0</v>
      </c>
      <c r="D21" s="61"/>
      <c r="E21" s="61"/>
      <c r="F21" s="64"/>
      <c r="G21" s="61"/>
      <c r="H21" s="61"/>
      <c r="I21" s="64"/>
      <c r="J21" s="8"/>
    </row>
    <row r="22" spans="1:10" ht="16.5" customHeight="1">
      <c r="A22" s="65" t="s">
        <v>236</v>
      </c>
      <c r="B22" s="65"/>
      <c r="C22" s="62">
        <f>SUM(C14:C21)</f>
        <v>0</v>
      </c>
      <c r="D22" s="65" t="s">
        <v>237</v>
      </c>
      <c r="E22" s="65"/>
      <c r="F22" s="62">
        <f>SUM(F14:F21)</f>
        <v>0</v>
      </c>
      <c r="G22" s="65" t="s">
        <v>238</v>
      </c>
      <c r="H22" s="65"/>
      <c r="I22" s="62">
        <f>SUM(I14:I21)</f>
        <v>0</v>
      </c>
      <c r="J22" s="8"/>
    </row>
    <row r="23" spans="1:10" ht="15" customHeight="1">
      <c r="A23" s="45"/>
      <c r="B23" s="45"/>
      <c r="C23" s="66"/>
      <c r="D23" s="65" t="s">
        <v>239</v>
      </c>
      <c r="E23" s="65"/>
      <c r="F23" s="67">
        <v>0</v>
      </c>
      <c r="G23" s="65" t="s">
        <v>240</v>
      </c>
      <c r="H23" s="65"/>
      <c r="I23" s="62">
        <v>0</v>
      </c>
      <c r="J23" s="8"/>
    </row>
    <row r="24" spans="4:10" ht="15" customHeight="1">
      <c r="D24" s="45"/>
      <c r="E24" s="45"/>
      <c r="F24" s="68"/>
      <c r="G24" s="65" t="s">
        <v>241</v>
      </c>
      <c r="H24" s="65"/>
      <c r="I24" s="62">
        <v>0</v>
      </c>
      <c r="J24" s="8"/>
    </row>
    <row r="25" spans="6:10" ht="15" customHeight="1">
      <c r="F25" s="69"/>
      <c r="G25" s="65" t="s">
        <v>242</v>
      </c>
      <c r="H25" s="65"/>
      <c r="I25" s="62">
        <v>0</v>
      </c>
      <c r="J25" s="8"/>
    </row>
    <row r="26" spans="1:9" ht="12.75">
      <c r="A26" s="50"/>
      <c r="B26" s="50"/>
      <c r="C26" s="50"/>
      <c r="G26" s="45"/>
      <c r="H26" s="45"/>
      <c r="I26" s="45"/>
    </row>
    <row r="27" spans="1:9" ht="15" customHeight="1">
      <c r="A27" s="70" t="s">
        <v>243</v>
      </c>
      <c r="B27" s="70"/>
      <c r="C27" s="71">
        <f>SUM('Stavební rozpočet'!AJ12:AJ61)</f>
        <v>0</v>
      </c>
      <c r="D27" s="72"/>
      <c r="E27" s="50"/>
      <c r="F27" s="50"/>
      <c r="G27" s="50"/>
      <c r="H27" s="50"/>
      <c r="I27" s="50"/>
    </row>
    <row r="28" spans="1:10" ht="15" customHeight="1">
      <c r="A28" s="70" t="s">
        <v>244</v>
      </c>
      <c r="B28" s="70"/>
      <c r="C28" s="71">
        <f>SUM('Stavební rozpočet'!AK12:AK61)</f>
        <v>0</v>
      </c>
      <c r="D28" s="70" t="s">
        <v>245</v>
      </c>
      <c r="E28" s="70"/>
      <c r="F28" s="71">
        <f>ROUND(C28*(15/100),2)</f>
        <v>0</v>
      </c>
      <c r="G28" s="70" t="s">
        <v>246</v>
      </c>
      <c r="H28" s="70"/>
      <c r="I28" s="71">
        <f>SUM(C27:C29)</f>
        <v>0</v>
      </c>
      <c r="J28" s="8"/>
    </row>
    <row r="29" spans="1:10" ht="15" customHeight="1">
      <c r="A29" s="70" t="s">
        <v>247</v>
      </c>
      <c r="B29" s="70"/>
      <c r="C29" s="71">
        <f>SUM('Stavební rozpočet'!AL12:AL61)+(F22+I22+F23+I23+I24+I25)</f>
        <v>0</v>
      </c>
      <c r="D29" s="70" t="s">
        <v>248</v>
      </c>
      <c r="E29" s="70"/>
      <c r="F29" s="71">
        <f>ROUND(C29*(21/100),2)</f>
        <v>0</v>
      </c>
      <c r="G29" s="70" t="s">
        <v>249</v>
      </c>
      <c r="H29" s="70"/>
      <c r="I29" s="71">
        <f>SUM(F28:F29)+I28</f>
        <v>0</v>
      </c>
      <c r="J29" s="8"/>
    </row>
    <row r="30" spans="1:9" ht="12.75">
      <c r="A30" s="73"/>
      <c r="B30" s="73"/>
      <c r="C30" s="73"/>
      <c r="D30" s="73"/>
      <c r="E30" s="73"/>
      <c r="F30" s="73"/>
      <c r="G30" s="73"/>
      <c r="H30" s="73"/>
      <c r="I30" s="73"/>
    </row>
    <row r="31" spans="1:10" ht="14.25" customHeight="1">
      <c r="A31" s="74" t="s">
        <v>250</v>
      </c>
      <c r="B31" s="74"/>
      <c r="C31" s="74"/>
      <c r="D31" s="74" t="s">
        <v>251</v>
      </c>
      <c r="E31" s="74"/>
      <c r="F31" s="74"/>
      <c r="G31" s="74" t="s">
        <v>252</v>
      </c>
      <c r="H31" s="74"/>
      <c r="I31" s="74"/>
      <c r="J31" s="23"/>
    </row>
    <row r="32" spans="1:10" ht="14.25" customHeight="1">
      <c r="A32" s="75"/>
      <c r="B32" s="75"/>
      <c r="C32" s="75"/>
      <c r="D32" s="75"/>
      <c r="E32" s="75"/>
      <c r="F32" s="75"/>
      <c r="G32" s="75"/>
      <c r="H32" s="75"/>
      <c r="I32" s="75"/>
      <c r="J32" s="23"/>
    </row>
    <row r="33" spans="1:10" ht="14.25" customHeight="1">
      <c r="A33" s="75"/>
      <c r="B33" s="75"/>
      <c r="C33" s="75"/>
      <c r="D33" s="75"/>
      <c r="E33" s="75"/>
      <c r="F33" s="75"/>
      <c r="G33" s="75"/>
      <c r="H33" s="75"/>
      <c r="I33" s="75"/>
      <c r="J33" s="23"/>
    </row>
    <row r="34" spans="1:10" ht="14.25" customHeight="1">
      <c r="A34" s="75" t="s">
        <v>18</v>
      </c>
      <c r="B34" s="75"/>
      <c r="C34" s="75"/>
      <c r="D34" s="75"/>
      <c r="E34" s="75"/>
      <c r="F34" s="75"/>
      <c r="G34" s="75"/>
      <c r="H34" s="75"/>
      <c r="I34" s="75"/>
      <c r="J34" s="23"/>
    </row>
    <row r="35" spans="1:10" ht="14.25" customHeight="1">
      <c r="A35" s="76" t="s">
        <v>253</v>
      </c>
      <c r="B35" s="76"/>
      <c r="C35" s="76"/>
      <c r="D35" s="76" t="s">
        <v>253</v>
      </c>
      <c r="E35" s="76"/>
      <c r="F35" s="76"/>
      <c r="G35" s="76" t="s">
        <v>253</v>
      </c>
      <c r="H35" s="76"/>
      <c r="I35" s="76"/>
      <c r="J35" s="23"/>
    </row>
    <row r="36" spans="1:9" ht="11.25" customHeight="1">
      <c r="A36" s="77" t="s">
        <v>209</v>
      </c>
      <c r="B36" s="78"/>
      <c r="C36" s="78"/>
      <c r="D36" s="78"/>
      <c r="E36" s="78"/>
      <c r="F36" s="78"/>
      <c r="G36" s="78"/>
      <c r="H36" s="78"/>
      <c r="I36" s="78"/>
    </row>
    <row r="37" spans="1:9" ht="12.75">
      <c r="A37" s="10"/>
      <c r="B37" s="10"/>
      <c r="C37" s="10"/>
      <c r="D37" s="10"/>
      <c r="E37" s="10"/>
      <c r="F37" s="10"/>
      <c r="G37" s="10"/>
      <c r="H37" s="10"/>
      <c r="I37" s="10"/>
    </row>
  </sheetData>
  <sheetProtection selectLockedCells="1" selectUnlockedCells="1"/>
  <mergeCells count="83">
    <mergeCell ref="C1:I1"/>
    <mergeCell ref="A2:B3"/>
    <mergeCell ref="C2:D3"/>
    <mergeCell ref="E2:E3"/>
    <mergeCell ref="F2:G3"/>
    <mergeCell ref="H2:H3"/>
    <mergeCell ref="I2:I3"/>
    <mergeCell ref="A4:B5"/>
    <mergeCell ref="C4:D5"/>
    <mergeCell ref="E4:E5"/>
    <mergeCell ref="F4:G5"/>
    <mergeCell ref="H4:H5"/>
    <mergeCell ref="I4:I5"/>
    <mergeCell ref="A6:B7"/>
    <mergeCell ref="C6:D7"/>
    <mergeCell ref="E6:E7"/>
    <mergeCell ref="F6:G7"/>
    <mergeCell ref="H6:H7"/>
    <mergeCell ref="I6:I7"/>
    <mergeCell ref="A8:B9"/>
    <mergeCell ref="C8:D9"/>
    <mergeCell ref="E8:E9"/>
    <mergeCell ref="F8:G9"/>
    <mergeCell ref="H8:H9"/>
    <mergeCell ref="I8:I9"/>
    <mergeCell ref="A10:B11"/>
    <mergeCell ref="C10:D11"/>
    <mergeCell ref="E10:E11"/>
    <mergeCell ref="F10:G11"/>
    <mergeCell ref="H10:H11"/>
    <mergeCell ref="I10:I11"/>
    <mergeCell ref="A12:I12"/>
    <mergeCell ref="B13:C13"/>
    <mergeCell ref="E13:F13"/>
    <mergeCell ref="H13:I13"/>
    <mergeCell ref="D14:E14"/>
    <mergeCell ref="G14:H14"/>
    <mergeCell ref="D15:E15"/>
    <mergeCell ref="G15:H15"/>
    <mergeCell ref="D16:E16"/>
    <mergeCell ref="G16:H16"/>
    <mergeCell ref="D17:E17"/>
    <mergeCell ref="G17:H17"/>
    <mergeCell ref="D18:E18"/>
    <mergeCell ref="G18:H18"/>
    <mergeCell ref="D19:E19"/>
    <mergeCell ref="G19:H19"/>
    <mergeCell ref="A20:B20"/>
    <mergeCell ref="D20:E20"/>
    <mergeCell ref="G20:H20"/>
    <mergeCell ref="A21:B21"/>
    <mergeCell ref="D21:E21"/>
    <mergeCell ref="G21:H21"/>
    <mergeCell ref="A22:B22"/>
    <mergeCell ref="D22:E22"/>
    <mergeCell ref="G22:H22"/>
    <mergeCell ref="D23:E23"/>
    <mergeCell ref="G23:H23"/>
    <mergeCell ref="G24:H24"/>
    <mergeCell ref="G25:H25"/>
    <mergeCell ref="A27:B27"/>
    <mergeCell ref="A28:B28"/>
    <mergeCell ref="D28:E28"/>
    <mergeCell ref="G28:H28"/>
    <mergeCell ref="A29:B29"/>
    <mergeCell ref="D29:E29"/>
    <mergeCell ref="G29:H29"/>
    <mergeCell ref="A31:C31"/>
    <mergeCell ref="D31:F31"/>
    <mergeCell ref="G31:I31"/>
    <mergeCell ref="A32:C32"/>
    <mergeCell ref="D32:F32"/>
    <mergeCell ref="G32:I32"/>
    <mergeCell ref="A33:C33"/>
    <mergeCell ref="D33:F33"/>
    <mergeCell ref="G33:I33"/>
    <mergeCell ref="A34:C34"/>
    <mergeCell ref="D34:F34"/>
    <mergeCell ref="G34:I34"/>
    <mergeCell ref="A35:C35"/>
    <mergeCell ref="D35:F35"/>
    <mergeCell ref="G35:I35"/>
    <mergeCell ref="A37:I37"/>
  </mergeCells>
  <printOptions/>
  <pageMargins left="0.39375" right="0.39375" top="0.5909722222222222" bottom="0.5909722222222222" header="0.5118055555555555" footer="0.5118055555555555"/>
  <pageSetup fitToHeight="1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Jiří Ruprechrt</cp:lastModifiedBy>
  <cp:lastPrinted>2020-11-09T17:33:42Z</cp:lastPrinted>
  <dcterms:modified xsi:type="dcterms:W3CDTF">2021-08-05T09:30:28Z</dcterms:modified>
  <cp:category/>
  <cp:version/>
  <cp:contentType/>
  <cp:contentStatus/>
  <cp:revision>7</cp:revision>
</cp:coreProperties>
</file>